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tatement of Cash Flows" sheetId="1" r:id="rId4"/>
    <sheet state="visible" name="Budget vs Actuals" sheetId="2" r:id="rId5"/>
    <sheet state="visible" name="Committee Budgets vs Actuals" sheetId="3" r:id="rId6"/>
    <sheet state="visible" name="Stmt of Fin Pos" sheetId="4" r:id="rId7"/>
    <sheet state="visible" name="Stmt of Fin Act" sheetId="5" r:id="rId8"/>
    <sheet state="visible" name="Stmt of Fin Act by Class" sheetId="6" r:id="rId9"/>
  </sheets>
  <definedNames/>
  <calcPr/>
</workbook>
</file>

<file path=xl/sharedStrings.xml><?xml version="1.0" encoding="utf-8"?>
<sst xmlns="http://schemas.openxmlformats.org/spreadsheetml/2006/main" count="333" uniqueCount="224">
  <si>
    <t>Dallas Makerspace</t>
  </si>
  <si>
    <t>Statement of Cash Flows</t>
  </si>
  <si>
    <t>January - December 2021</t>
  </si>
  <si>
    <t>Total</t>
  </si>
  <si>
    <t>OPERATING ACTIVITIES</t>
  </si>
  <si>
    <t xml:space="preserve">   Net Income</t>
  </si>
  <si>
    <t xml:space="preserve">   Adjustments to reconcile Net Income to Net Cash provided by operations:</t>
  </si>
  <si>
    <t xml:space="preserve">      2000 Accounts payable</t>
  </si>
  <si>
    <t xml:space="preserve">      2110 Credit Cards:Credit Card x2018</t>
  </si>
  <si>
    <t xml:space="preserve">      2410 Loans &amp; Lease Agreements:Long-term Loan</t>
  </si>
  <si>
    <t xml:space="preserve">   Total Adjustments to reconcile Net Income to Net Cash provided by operations:</t>
  </si>
  <si>
    <t>Net cash provided by operating activities</t>
  </si>
  <si>
    <t>INVESTING ACTIVITIES</t>
  </si>
  <si>
    <t xml:space="preserve">   1620 Fixed Operating Assets:Furniture, Fixtures, &amp; Equipment</t>
  </si>
  <si>
    <t xml:space="preserve">   1630 Fixed Operating Assets:Leasehold improvements</t>
  </si>
  <si>
    <t>Net cash provided by investing activities</t>
  </si>
  <si>
    <t>FINANCING ACTIVITIES</t>
  </si>
  <si>
    <t xml:space="preserve">   3000 Net assets without Donor Restrictions</t>
  </si>
  <si>
    <t>Net cash provided by financing activities</t>
  </si>
  <si>
    <t>Net cash increase for period</t>
  </si>
  <si>
    <t>Cash at beginning of period</t>
  </si>
  <si>
    <t>Cash at end of period</t>
  </si>
  <si>
    <t>Tuesday, Feb 01, 2022 07:57:04 PM GMT-8</t>
  </si>
  <si>
    <t>Budget Vs Actuals</t>
  </si>
  <si>
    <t>Budget</t>
  </si>
  <si>
    <t>Actuals (Adjusted)</t>
  </si>
  <si>
    <t>% Increase</t>
  </si>
  <si>
    <t>Dues</t>
  </si>
  <si>
    <t>Adjustments</t>
  </si>
  <si>
    <t>Use Fees</t>
  </si>
  <si>
    <t>Leasehold Improvements</t>
  </si>
  <si>
    <t>Donations</t>
  </si>
  <si>
    <t>Prepaid Rent</t>
  </si>
  <si>
    <t>Janitorial</t>
  </si>
  <si>
    <t>Financial</t>
  </si>
  <si>
    <t>Rent, Insurance</t>
  </si>
  <si>
    <t>Utilities</t>
  </si>
  <si>
    <t>Bank Fees</t>
  </si>
  <si>
    <t>Repair and Maintenance</t>
  </si>
  <si>
    <t>Infra and Logistics</t>
  </si>
  <si>
    <t>Honoraria</t>
  </si>
  <si>
    <t>Committee Spending</t>
  </si>
  <si>
    <t>Net Income</t>
  </si>
  <si>
    <t>121 3D Fabrication</t>
  </si>
  <si>
    <t>123 Automotive</t>
  </si>
  <si>
    <t>124 Blacksmithing</t>
  </si>
  <si>
    <t>125 Ceramics</t>
  </si>
  <si>
    <t>126 Creative Arts</t>
  </si>
  <si>
    <t>127 Digital Media</t>
  </si>
  <si>
    <t>128 Electronics</t>
  </si>
  <si>
    <t>129 Glassworks</t>
  </si>
  <si>
    <t>130 Jewelry</t>
  </si>
  <si>
    <t>131 Laser</t>
  </si>
  <si>
    <t>132 Machine Shop</t>
  </si>
  <si>
    <t>133 Metal Shop</t>
  </si>
  <si>
    <t>134 Motorsports</t>
  </si>
  <si>
    <t>135 Printmaking</t>
  </si>
  <si>
    <t>136 Science</t>
  </si>
  <si>
    <t>137 Vector</t>
  </si>
  <si>
    <t>138 Wood Shop</t>
  </si>
  <si>
    <t>COMMITTEES</t>
  </si>
  <si>
    <t>Other Income</t>
  </si>
  <si>
    <t>$ -</t>
  </si>
  <si>
    <t>Total Income</t>
  </si>
  <si>
    <t>Expenses</t>
  </si>
  <si>
    <t>Net</t>
  </si>
  <si>
    <t>Statement of Financial Position</t>
  </si>
  <si>
    <t>As of December 31, 2021</t>
  </si>
  <si>
    <t>ASSETS</t>
  </si>
  <si>
    <t xml:space="preserve">   Current Assets</t>
  </si>
  <si>
    <t xml:space="preserve">      Bank Accounts</t>
  </si>
  <si>
    <t xml:space="preserve">         1000 Cash</t>
  </si>
  <si>
    <t xml:space="preserve">            1010 Chase Checking x3650</t>
  </si>
  <si>
    <t xml:space="preserve">            1020 Chase Checking x0667</t>
  </si>
  <si>
    <t xml:space="preserve">            1030 Chase Savings x8333</t>
  </si>
  <si>
    <t xml:space="preserve">            1040 PayPal</t>
  </si>
  <si>
    <t xml:space="preserve">         Total 1000 Cash</t>
  </si>
  <si>
    <t xml:space="preserve">      Total Bank Accounts</t>
  </si>
  <si>
    <t xml:space="preserve">      Other Current Assets</t>
  </si>
  <si>
    <t xml:space="preserve">         1400 Other Current Assets</t>
  </si>
  <si>
    <t xml:space="preserve">            1430 Security Deposit</t>
  </si>
  <si>
    <t xml:space="preserve">         Total 1400 Other Current Assets</t>
  </si>
  <si>
    <t xml:space="preserve">      Total Other Current Assets</t>
  </si>
  <si>
    <t xml:space="preserve">   Total Current Assets</t>
  </si>
  <si>
    <t xml:space="preserve">   Fixed Assets</t>
  </si>
  <si>
    <t xml:space="preserve">      1600 Fixed Operating Assets</t>
  </si>
  <si>
    <t xml:space="preserve">         1610 Computers and IT</t>
  </si>
  <si>
    <t xml:space="preserve">         1620 Furniture, Fixtures, &amp; Equipment</t>
  </si>
  <si>
    <t xml:space="preserve">         1630 Leasehold improvements</t>
  </si>
  <si>
    <t xml:space="preserve">         1640 Tools</t>
  </si>
  <si>
    <t xml:space="preserve">      Total 1600 Fixed Operating Assets</t>
  </si>
  <si>
    <t xml:space="preserve">      1700 Accum Depreciation - Fixed Operating Assets</t>
  </si>
  <si>
    <t xml:space="preserve">   Total Fixed Assets</t>
  </si>
  <si>
    <t>TOTAL ASSETS</t>
  </si>
  <si>
    <t>LIABILITIES AND EQUITY</t>
  </si>
  <si>
    <t xml:space="preserve">   Liabilities</t>
  </si>
  <si>
    <t xml:space="preserve">      Current Liabilities</t>
  </si>
  <si>
    <t xml:space="preserve">         Credit Cards</t>
  </si>
  <si>
    <t xml:space="preserve">            2100 Credit Cards</t>
  </si>
  <si>
    <t xml:space="preserve">               2110 Credit Card x2018</t>
  </si>
  <si>
    <t xml:space="preserve">            Total 2100 Credit Cards</t>
  </si>
  <si>
    <t xml:space="preserve">         Total Credit Cards</t>
  </si>
  <si>
    <t xml:space="preserve">         Other Current Liabilities</t>
  </si>
  <si>
    <t xml:space="preserve">            2400 Loans &amp; Lease Agreements</t>
  </si>
  <si>
    <t xml:space="preserve">               2410 Long-term Loan</t>
  </si>
  <si>
    <t xml:space="preserve">            Total 2400 Loans &amp; Lease Agreements</t>
  </si>
  <si>
    <t xml:space="preserve">         Total Other Current Liabilities</t>
  </si>
  <si>
    <t xml:space="preserve">      Total Current Liabilities</t>
  </si>
  <si>
    <t xml:space="preserve">   Total Liabilities</t>
  </si>
  <si>
    <t xml:space="preserve">   Equity</t>
  </si>
  <si>
    <t xml:space="preserve">      3000 Net assets without Donor Restrictions</t>
  </si>
  <si>
    <t xml:space="preserve">      Net Income</t>
  </si>
  <si>
    <t xml:space="preserve">   Total Equity</t>
  </si>
  <si>
    <t>TOTAL LIABILITIES AND EQUITY</t>
  </si>
  <si>
    <t>Statement of Financial Activity</t>
  </si>
  <si>
    <t>Income</t>
  </si>
  <si>
    <t xml:space="preserve">   4000 Direct Contributions</t>
  </si>
  <si>
    <t xml:space="preserve">      4010 Individual Contributions</t>
  </si>
  <si>
    <t xml:space="preserve">      4020 Corporate Contributions</t>
  </si>
  <si>
    <t xml:space="preserve">   Total 4000 Direct Contributions</t>
  </si>
  <si>
    <t xml:space="preserve">   4200 Non-Government Grants</t>
  </si>
  <si>
    <t xml:space="preserve">      4210 Grants without Restrictions</t>
  </si>
  <si>
    <t xml:space="preserve">   Total 4200 Non-Government Grants</t>
  </si>
  <si>
    <t xml:space="preserve">   5100 Program Sales &amp; Fees</t>
  </si>
  <si>
    <t xml:space="preserve">      5110 Program Service Fees</t>
  </si>
  <si>
    <t xml:space="preserve">      5120 Membership Fees</t>
  </si>
  <si>
    <t xml:space="preserve">   Total 5100 Program Sales &amp; Fees</t>
  </si>
  <si>
    <t xml:space="preserve">   5400 Revenue From Sales</t>
  </si>
  <si>
    <t xml:space="preserve">      5410 Non-inventory Sales</t>
  </si>
  <si>
    <t xml:space="preserve">      5420 Inventory Sales</t>
  </si>
  <si>
    <t xml:space="preserve">   Total 5400 Revenue From Sales</t>
  </si>
  <si>
    <t xml:space="preserve">   5999 Misc. Revenue</t>
  </si>
  <si>
    <t>Gross Profit</t>
  </si>
  <si>
    <t xml:space="preserve">   7500 Contract Service Expenses</t>
  </si>
  <si>
    <t xml:space="preserve">      7510 Contractors - General</t>
  </si>
  <si>
    <t xml:space="preserve">      7520 Custodial Services</t>
  </si>
  <si>
    <t xml:space="preserve">      7530 Honorariums &amp; Speakers</t>
  </si>
  <si>
    <t xml:space="preserve">      7540 Accounting</t>
  </si>
  <si>
    <t xml:space="preserve">      7560 IT Consultant</t>
  </si>
  <si>
    <t xml:space="preserve">      7580 Facility Services</t>
  </si>
  <si>
    <t xml:space="preserve">   Total 7500 Contract Service Expenses</t>
  </si>
  <si>
    <t xml:space="preserve">   8100 Non-personnel Expenses</t>
  </si>
  <si>
    <t xml:space="preserve">      8110 Supplies</t>
  </si>
  <si>
    <t xml:space="preserve">      8120 Telephone &amp; Internet</t>
  </si>
  <si>
    <t xml:space="preserve">      8130 Postage &amp; Shipping</t>
  </si>
  <si>
    <t xml:space="preserve">      8140 Equipment Rental</t>
  </si>
  <si>
    <t xml:space="preserve">      8150 Software &amp; Hardware &lt; $1,000</t>
  </si>
  <si>
    <t xml:space="preserve">      8160 Printing &amp; Copying</t>
  </si>
  <si>
    <t xml:space="preserve">      8170 Subscriptions</t>
  </si>
  <si>
    <t xml:space="preserve">   Total 8100 Non-personnel Expenses</t>
  </si>
  <si>
    <t xml:space="preserve">   8200 Facility  Expenses</t>
  </si>
  <si>
    <t xml:space="preserve">      8210 Office &amp; Storage Rent</t>
  </si>
  <si>
    <t xml:space="preserve">      8220 Utilities</t>
  </si>
  <si>
    <t xml:space="preserve">      8230 Repairs &amp; Maintenance</t>
  </si>
  <si>
    <t xml:space="preserve">   Total 8200 Facility  Expenses</t>
  </si>
  <si>
    <t xml:space="preserve">   8300 Travel &amp; Conference Expenses</t>
  </si>
  <si>
    <t xml:space="preserve">      8330 Meals</t>
  </si>
  <si>
    <t xml:space="preserve">   Total 8300 Travel &amp; Conference Expenses</t>
  </si>
  <si>
    <t xml:space="preserve">   8400 Other Program Specific Expenses</t>
  </si>
  <si>
    <t xml:space="preserve">      8410 Consumables</t>
  </si>
  <si>
    <t xml:space="preserve">      8420 Small Tools</t>
  </si>
  <si>
    <t xml:space="preserve">   Total 8400 Other Program Specific Expenses</t>
  </si>
  <si>
    <t xml:space="preserve">   8500 Other Expenses</t>
  </si>
  <si>
    <t xml:space="preserve">      8510 Interest Expense</t>
  </si>
  <si>
    <t xml:space="preserve">      8520 Insurance - Non-employee Related</t>
  </si>
  <si>
    <t xml:space="preserve">      8550 Bank Fees</t>
  </si>
  <si>
    <t xml:space="preserve">      8560 Merchant Fees</t>
  </si>
  <si>
    <t xml:space="preserve">      8570 Advertising Expenses</t>
  </si>
  <si>
    <t xml:space="preserve">      8580 Business Taxes &amp; Licensing Fees</t>
  </si>
  <si>
    <t xml:space="preserve">      8585 Sales Tax Paid</t>
  </si>
  <si>
    <t xml:space="preserve">      8590 Other Expenses</t>
  </si>
  <si>
    <t xml:space="preserve">   Total 8500 Other Expenses</t>
  </si>
  <si>
    <t>Total Expenses</t>
  </si>
  <si>
    <t>Net Operating Income</t>
  </si>
  <si>
    <t xml:space="preserve">   9000 Donated Goods &amp; Services Revenue</t>
  </si>
  <si>
    <t xml:space="preserve">      9010 In-Kind Professional Services</t>
  </si>
  <si>
    <t xml:space="preserve">   Total 9000 Donated Goods &amp; Services Revenue</t>
  </si>
  <si>
    <t xml:space="preserve">   9200 Investment Activity</t>
  </si>
  <si>
    <t xml:space="preserve">      9210 Interest</t>
  </si>
  <si>
    <t xml:space="preserve">      9240 Realized Gain(Loss)</t>
  </si>
  <si>
    <t xml:space="preserve">   Total 9200 Investment Activity</t>
  </si>
  <si>
    <t>Total Other Income</t>
  </si>
  <si>
    <t>Other Expenses</t>
  </si>
  <si>
    <t xml:space="preserve">   9100 Donated Goods &amp; Services Expense</t>
  </si>
  <si>
    <t xml:space="preserve">      9110 In-Kind Professional Services</t>
  </si>
  <si>
    <t xml:space="preserve">   Total 9100 Donated Goods &amp; Services Expense</t>
  </si>
  <si>
    <t>Total Other Expenses</t>
  </si>
  <si>
    <t>Net Other Income</t>
  </si>
  <si>
    <t>Statement of Financial Activity by Class</t>
  </si>
  <si>
    <t>100 Programs</t>
  </si>
  <si>
    <t>110 General Programs</t>
  </si>
  <si>
    <t>120 Committees</t>
  </si>
  <si>
    <t>139 Other Classes and Events</t>
  </si>
  <si>
    <t>Total 120 Committees</t>
  </si>
  <si>
    <t>Total 100 Programs</t>
  </si>
  <si>
    <t>600 Administrative</t>
  </si>
  <si>
    <t>610 General Administrative</t>
  </si>
  <si>
    <t>Total 600 Administrative</t>
  </si>
  <si>
    <t>700 Fundraising</t>
  </si>
  <si>
    <t>710 General Fundraising</t>
  </si>
  <si>
    <t>Total 700 Fundraising</t>
  </si>
  <si>
    <t>Competitive Robotics (deleted)</t>
  </si>
  <si>
    <t>Expansion</t>
  </si>
  <si>
    <t>Infrastructure</t>
  </si>
  <si>
    <t>Logistics</t>
  </si>
  <si>
    <t>PR</t>
  </si>
  <si>
    <t>Total COMMITTEES</t>
  </si>
  <si>
    <t>FUNDS</t>
  </si>
  <si>
    <t>Maker Fellowship</t>
  </si>
  <si>
    <t>Total FUNDS</t>
  </si>
  <si>
    <t>FUNDS_MONTHLY</t>
  </si>
  <si>
    <t>Cintas 1st Aid Maintenance</t>
  </si>
  <si>
    <t>Insurance</t>
  </si>
  <si>
    <t>Quickbooks Online</t>
  </si>
  <si>
    <t>Rent</t>
  </si>
  <si>
    <t>SavingsEarmark</t>
  </si>
  <si>
    <t>Trash Pickup</t>
  </si>
  <si>
    <t>Utility</t>
  </si>
  <si>
    <t>Total FUNDS_MONTHLY</t>
  </si>
  <si>
    <t>General Fund</t>
  </si>
  <si>
    <t>Printmaking</t>
  </si>
  <si>
    <t>Not Specified</t>
  </si>
  <si>
    <t>TOTAL</t>
  </si>
  <si>
    <t xml:space="preserve">   9999 Clearing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</si>
</sst>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.00\ _€"/>
    <numFmt numFmtId="165" formatCode="&quot;$&quot;* #,##0.00\ _€"/>
    <numFmt numFmtId="166" formatCode="_(&quot;$&quot;* #,##0_);_(&quot;$&quot;* \(#,##0\);_(&quot;$&quot;* &quot;-&quot;??_);_(@_)"/>
    <numFmt numFmtId="167" formatCode="_(&quot;$&quot;* #,##0.00_);_(&quot;$&quot;* \(#,##0.00\);_(&quot;$&quot;* &quot;-&quot;??_);_(@_)"/>
  </numFmts>
  <fonts count="12">
    <font>
      <sz val="11.0"/>
      <color rgb="FF000000"/>
      <name val="Calibri"/>
    </font>
    <font>
      <b/>
      <sz val="14.0"/>
      <color rgb="FF000000"/>
      <name val="Arial"/>
    </font>
    <font>
      <b/>
      <sz val="10.0"/>
      <color rgb="FF000000"/>
      <name val="Arial"/>
    </font>
    <font>
      <b/>
      <sz val="9.0"/>
      <color rgb="FF000000"/>
      <name val="Arial"/>
    </font>
    <font>
      <b/>
      <sz val="8.0"/>
      <color rgb="FF000000"/>
      <name val="Arial"/>
    </font>
    <font>
      <sz val="8.0"/>
      <color rgb="FF000000"/>
      <name val="Arial"/>
    </font>
    <font>
      <b/>
      <sz val="11.0"/>
      <color rgb="FF000000"/>
      <name val="Calibri"/>
    </font>
    <font>
      <b/>
      <sz val="11.0"/>
      <color rgb="FFFF0000"/>
      <name val="Calibri"/>
    </font>
    <font>
      <sz val="10.0"/>
      <color theme="1"/>
      <name val="Arial"/>
    </font>
    <font>
      <color theme="1"/>
      <name val="Arial"/>
    </font>
    <font>
      <b/>
      <color theme="1"/>
      <name val="Arial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5">
    <border/>
    <border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double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0" numFmtId="0" xfId="0" applyFont="1"/>
    <xf borderId="0" fillId="0" fontId="2" numFmtId="0" xfId="0" applyAlignment="1" applyFont="1">
      <alignment horizontal="center"/>
    </xf>
    <xf borderId="0" fillId="0" fontId="0" numFmtId="0" xfId="0" applyAlignment="1" applyFont="1">
      <alignment shrinkToFit="0" wrapText="1"/>
    </xf>
    <xf borderId="1" fillId="0" fontId="3" numFmtId="0" xfId="0" applyAlignment="1" applyBorder="1" applyFont="1">
      <alignment horizontal="center" shrinkToFit="0" wrapText="1"/>
    </xf>
    <xf borderId="0" fillId="0" fontId="4" numFmtId="0" xfId="0" applyAlignment="1" applyFont="1">
      <alignment horizontal="left" shrinkToFit="0" wrapText="1"/>
    </xf>
    <xf borderId="0" fillId="0" fontId="5" numFmtId="164" xfId="0" applyAlignment="1" applyFont="1" applyNumberFormat="1">
      <alignment shrinkToFit="0" wrapText="1"/>
    </xf>
    <xf borderId="0" fillId="0" fontId="5" numFmtId="164" xfId="0" applyAlignment="1" applyFont="1" applyNumberFormat="1">
      <alignment horizontal="right" shrinkToFit="0" wrapText="1"/>
    </xf>
    <xf borderId="2" fillId="0" fontId="4" numFmtId="165" xfId="0" applyAlignment="1" applyBorder="1" applyFont="1" applyNumberFormat="1">
      <alignment horizontal="right" shrinkToFit="0" wrapText="1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6" numFmtId="0" xfId="0" applyAlignment="1" applyFont="1">
      <alignment readingOrder="0"/>
    </xf>
    <xf borderId="0" fillId="0" fontId="0" numFmtId="166" xfId="0" applyFont="1" applyNumberFormat="1"/>
    <xf borderId="0" fillId="0" fontId="0" numFmtId="9" xfId="0" applyFont="1" applyNumberFormat="1"/>
    <xf borderId="0" fillId="0" fontId="6" numFmtId="166" xfId="0" applyFont="1" applyNumberFormat="1"/>
    <xf borderId="0" fillId="0" fontId="0" numFmtId="167" xfId="0" applyFont="1" applyNumberFormat="1"/>
    <xf borderId="0" fillId="0" fontId="7" numFmtId="166" xfId="0" applyFont="1" applyNumberFormat="1"/>
    <xf borderId="0" fillId="0" fontId="8" numFmtId="166" xfId="0" applyAlignment="1" applyFont="1" applyNumberFormat="1">
      <alignment horizontal="right" shrinkToFit="0" wrapText="1"/>
    </xf>
    <xf borderId="0" fillId="0" fontId="9" numFmtId="166" xfId="0" applyAlignment="1" applyFont="1" applyNumberFormat="1">
      <alignment horizontal="right" readingOrder="0" vertical="bottom"/>
    </xf>
    <xf borderId="0" fillId="0" fontId="0" numFmtId="166" xfId="0" applyAlignment="1" applyFont="1" applyNumberFormat="1">
      <alignment readingOrder="0" shrinkToFit="0" vertical="bottom" wrapText="0"/>
    </xf>
    <xf borderId="0" fillId="0" fontId="10" numFmtId="166" xfId="0" applyAlignment="1" applyFont="1" applyNumberFormat="1">
      <alignment horizontal="right" readingOrder="0" vertical="bottom"/>
    </xf>
    <xf borderId="0" fillId="0" fontId="6" numFmtId="166" xfId="0" applyAlignment="1" applyFont="1" applyNumberFormat="1">
      <alignment readingOrder="0" shrinkToFit="0" vertical="bottom" wrapText="0"/>
    </xf>
    <xf borderId="0" fillId="0" fontId="9" numFmtId="166" xfId="0" applyAlignment="1" applyFont="1" applyNumberFormat="1">
      <alignment horizontal="right" vertical="bottom"/>
    </xf>
    <xf borderId="0" fillId="0" fontId="0" numFmtId="0" xfId="0" applyAlignment="1" applyFont="1">
      <alignment shrinkToFit="0" vertical="bottom" wrapText="0"/>
    </xf>
    <xf borderId="0" fillId="0" fontId="11" numFmtId="0" xfId="0" applyFont="1"/>
    <xf borderId="0" fillId="0" fontId="7" numFmtId="166" xfId="0" applyAlignment="1" applyFont="1" applyNumberFormat="1">
      <alignment readingOrder="0" shrinkToFit="0" vertical="bottom" wrapText="0"/>
    </xf>
    <xf borderId="0" fillId="0" fontId="5" numFmtId="166" xfId="0" applyAlignment="1" applyFont="1" applyNumberFormat="1">
      <alignment horizontal="left" shrinkToFit="0" wrapText="1"/>
    </xf>
    <xf borderId="2" fillId="0" fontId="4" numFmtId="166" xfId="0" applyAlignment="1" applyBorder="1" applyFont="1" applyNumberFormat="1">
      <alignment horizontal="left" shrinkToFit="0" wrapText="1"/>
    </xf>
    <xf borderId="3" fillId="0" fontId="4" numFmtId="166" xfId="0" applyAlignment="1" applyBorder="1" applyFont="1" applyNumberFormat="1">
      <alignment horizontal="left" shrinkToFit="0" wrapText="1"/>
    </xf>
    <xf borderId="0" fillId="0" fontId="4" numFmtId="166" xfId="0" applyAlignment="1" applyFont="1" applyNumberFormat="1">
      <alignment horizontal="left" shrinkToFit="0" wrapText="1"/>
    </xf>
    <xf borderId="1" fillId="0" fontId="0" numFmtId="0" xfId="0" applyAlignment="1" applyBorder="1" applyFont="1">
      <alignment shrinkToFit="0" wrapText="1"/>
    </xf>
    <xf borderId="1" fillId="0" fontId="0" numFmtId="0" xfId="0" applyBorder="1" applyFont="1"/>
    <xf borderId="4" fillId="0" fontId="4" numFmtId="166" xfId="0" applyAlignment="1" applyBorder="1" applyFont="1" applyNumberForma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9.57"/>
    <col customWidth="1" min="2" max="2" width="20.57"/>
    <col customWidth="1" min="3" max="26" width="8.71"/>
  </cols>
  <sheetData>
    <row r="1" ht="14.2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4.25" customHeight="1">
      <c r="A2" s="1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4.25" customHeight="1">
      <c r="A3" s="3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4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4.25" customHeight="1">
      <c r="A5" s="4"/>
      <c r="B5" s="5" t="s">
        <v>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4.25" customHeight="1">
      <c r="A6" s="6" t="s">
        <v>4</v>
      </c>
      <c r="B6" s="7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4.25" customHeight="1">
      <c r="A7" s="6" t="s">
        <v>5</v>
      </c>
      <c r="B7" s="8">
        <f>-92667.74</f>
        <v>-92667.74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4.25" customHeight="1">
      <c r="A8" s="6" t="s">
        <v>6</v>
      </c>
      <c r="B8" s="7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4.25" customHeight="1">
      <c r="A9" s="6" t="s">
        <v>7</v>
      </c>
      <c r="B9" s="8">
        <f>4536.23</f>
        <v>4536.23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4.25" customHeight="1">
      <c r="A10" s="6" t="s">
        <v>8</v>
      </c>
      <c r="B10" s="8">
        <f>12380.26</f>
        <v>12380.26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4.25" customHeight="1">
      <c r="A11" s="6" t="s">
        <v>9</v>
      </c>
      <c r="B11" s="8">
        <f>499900</f>
        <v>499900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4.25" customHeight="1">
      <c r="A12" s="6" t="s">
        <v>10</v>
      </c>
      <c r="B12" s="9">
        <f>(((B8)+(B9))+(B10))+(B11)</f>
        <v>516816.49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4.25" customHeight="1">
      <c r="A13" s="6" t="s">
        <v>11</v>
      </c>
      <c r="B13" s="9">
        <f>(B7)+(B12)</f>
        <v>424148.75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4.25" customHeight="1">
      <c r="A14" s="6" t="s">
        <v>12</v>
      </c>
      <c r="B14" s="7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4.25" customHeight="1">
      <c r="A15" s="6" t="s">
        <v>13</v>
      </c>
      <c r="B15" s="8">
        <f>-3666.05</f>
        <v>-3666.05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4.25" customHeight="1">
      <c r="A16" s="6" t="s">
        <v>14</v>
      </c>
      <c r="B16" s="8">
        <f>-47648.19</f>
        <v>-47648.19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4.25" customHeight="1">
      <c r="A17" s="6" t="s">
        <v>15</v>
      </c>
      <c r="B17" s="9">
        <f>(B15)+(B16)</f>
        <v>-51314.24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4.25" customHeight="1">
      <c r="A18" s="6" t="s">
        <v>16</v>
      </c>
      <c r="B18" s="7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4.25" customHeight="1">
      <c r="A19" s="6" t="s">
        <v>17</v>
      </c>
      <c r="B19" s="8">
        <f>-330.42</f>
        <v>-330.42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4.25" customHeight="1">
      <c r="A20" s="6" t="s">
        <v>18</v>
      </c>
      <c r="B20" s="9">
        <f>B19</f>
        <v>-330.42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4.25" customHeight="1">
      <c r="A21" s="6" t="s">
        <v>19</v>
      </c>
      <c r="B21" s="9">
        <f>((B13)+(B17))+(B20)</f>
        <v>372504.09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4.25" customHeight="1">
      <c r="A22" s="6" t="s">
        <v>20</v>
      </c>
      <c r="B22" s="8">
        <f>444069.22</f>
        <v>444069.22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4.25" customHeight="1">
      <c r="A23" s="6" t="s">
        <v>21</v>
      </c>
      <c r="B23" s="9">
        <f>(B21)+(B22)</f>
        <v>816573.31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4.25" customHeight="1">
      <c r="A24" s="6"/>
      <c r="B24" s="7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4.25" customHeight="1">
      <c r="A27" s="10" t="s">
        <v>22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">
    <mergeCell ref="A1:B1"/>
    <mergeCell ref="A2:B2"/>
    <mergeCell ref="A3:B3"/>
    <mergeCell ref="A27:B27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14"/>
    <col customWidth="1" hidden="1" min="2" max="2" width="11.14"/>
    <col customWidth="1" min="3" max="3" width="13.86"/>
    <col customWidth="1" min="4" max="4" width="16.57"/>
    <col customWidth="1" min="5" max="5" width="8.71"/>
    <col customWidth="1" min="6" max="6" width="12.14"/>
    <col customWidth="1" min="7" max="10" width="8.71"/>
    <col customWidth="1" min="11" max="11" width="9.57"/>
    <col customWidth="1" min="12" max="26" width="8.71"/>
  </cols>
  <sheetData>
    <row r="1" ht="14.25" customHeight="1">
      <c r="A1" s="11" t="s">
        <v>23</v>
      </c>
      <c r="B1" s="2"/>
      <c r="C1" s="11" t="s">
        <v>24</v>
      </c>
      <c r="D1" s="11" t="s">
        <v>25</v>
      </c>
      <c r="E1" s="12" t="s">
        <v>26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4.25" customHeight="1">
      <c r="A2" s="1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4.25" customHeight="1">
      <c r="A3" s="2" t="s">
        <v>27</v>
      </c>
      <c r="B3" s="13">
        <v>55000.0</v>
      </c>
      <c r="C3" s="13">
        <f t="shared" ref="C3:C4" si="1">12*B3</f>
        <v>660000</v>
      </c>
      <c r="D3" s="13">
        <v>677948.08</v>
      </c>
      <c r="E3" s="14">
        <f t="shared" ref="E3:E4" si="2">(D3/C3)-1</f>
        <v>0.02719406061</v>
      </c>
      <c r="H3" s="11" t="s">
        <v>28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4.25" customHeight="1">
      <c r="A4" s="2" t="s">
        <v>29</v>
      </c>
      <c r="B4" s="13">
        <v>2200.0</v>
      </c>
      <c r="C4" s="13">
        <f t="shared" si="1"/>
        <v>26400</v>
      </c>
      <c r="D4" s="13">
        <v>33215.98</v>
      </c>
      <c r="E4" s="14">
        <f t="shared" si="2"/>
        <v>0.2581810606</v>
      </c>
      <c r="H4" s="13">
        <v>28030.0</v>
      </c>
      <c r="I4" s="2" t="s">
        <v>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4.25" customHeight="1">
      <c r="A5" s="2" t="s">
        <v>31</v>
      </c>
      <c r="B5" s="13"/>
      <c r="C5" s="13">
        <v>0.0</v>
      </c>
      <c r="D5" s="13">
        <f>8935.68+4200</f>
        <v>13135.68</v>
      </c>
      <c r="E5" s="14"/>
      <c r="H5" s="13">
        <v>55738.0</v>
      </c>
      <c r="I5" s="2" t="s">
        <v>32</v>
      </c>
      <c r="J5" s="2"/>
      <c r="K5" s="13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4.25" customHeight="1">
      <c r="A6" s="2"/>
      <c r="B6" s="13">
        <v>57200.0</v>
      </c>
      <c r="C6" s="15">
        <f>12*B6</f>
        <v>686400</v>
      </c>
      <c r="D6" s="15">
        <f>SUM(D3:D5)</f>
        <v>724299.74</v>
      </c>
      <c r="E6" s="14">
        <f>(D6/C6)-1</f>
        <v>0.05521523893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4.25" customHeight="1">
      <c r="A7" s="2"/>
      <c r="B7" s="13"/>
      <c r="C7" s="15"/>
      <c r="D7" s="16"/>
      <c r="E7" s="14"/>
      <c r="F7" s="2"/>
      <c r="G7" s="2"/>
      <c r="H7" s="2"/>
      <c r="I7" s="2"/>
      <c r="J7" s="2"/>
      <c r="K7" s="13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4.25" customHeight="1">
      <c r="A8" s="2" t="s">
        <v>33</v>
      </c>
      <c r="B8" s="13">
        <v>2500.0</v>
      </c>
      <c r="C8" s="13">
        <f t="shared" ref="C8:C12" si="3">12*B8</f>
        <v>30000</v>
      </c>
      <c r="D8" s="13">
        <v>29552.28</v>
      </c>
      <c r="E8" s="14">
        <f t="shared" ref="E8:E18" si="4">(D8/C8)-1</f>
        <v>-0.014924</v>
      </c>
      <c r="F8" s="2"/>
      <c r="G8" s="2"/>
      <c r="H8" s="2"/>
      <c r="I8" s="2"/>
      <c r="J8" s="2"/>
      <c r="K8" s="13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4.25" customHeight="1">
      <c r="A9" s="2" t="s">
        <v>34</v>
      </c>
      <c r="B9" s="13">
        <v>1800.0</v>
      </c>
      <c r="C9" s="13">
        <f t="shared" si="3"/>
        <v>21600</v>
      </c>
      <c r="D9" s="13">
        <v>30175.0</v>
      </c>
      <c r="E9" s="14">
        <f t="shared" si="4"/>
        <v>0.3969907407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4.25" customHeight="1">
      <c r="A10" s="2" t="s">
        <v>35</v>
      </c>
      <c r="B10" s="13">
        <v>28000.0</v>
      </c>
      <c r="C10" s="13">
        <f t="shared" si="3"/>
        <v>336000</v>
      </c>
      <c r="D10" s="13">
        <f>440831.29-SUM(H4:H5)</f>
        <v>357063.29</v>
      </c>
      <c r="E10" s="14">
        <f t="shared" si="4"/>
        <v>0.0626883631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4.25" customHeight="1">
      <c r="A11" s="2" t="s">
        <v>36</v>
      </c>
      <c r="B11" s="13">
        <v>5500.0</v>
      </c>
      <c r="C11" s="13">
        <f t="shared" si="3"/>
        <v>66000</v>
      </c>
      <c r="D11" s="13">
        <v>75824.93</v>
      </c>
      <c r="E11" s="14">
        <f t="shared" si="4"/>
        <v>0.1488625758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4.25" customHeight="1">
      <c r="A12" s="2" t="s">
        <v>37</v>
      </c>
      <c r="B12" s="13">
        <v>2650.0</v>
      </c>
      <c r="C12" s="13">
        <f t="shared" si="3"/>
        <v>31800</v>
      </c>
      <c r="D12" s="13">
        <v>18653.12</v>
      </c>
      <c r="E12" s="14">
        <f t="shared" si="4"/>
        <v>-0.4134238994</v>
      </c>
      <c r="F12" s="2"/>
      <c r="G12" s="2"/>
      <c r="H12" s="2"/>
      <c r="I12" s="2"/>
      <c r="J12" s="2"/>
      <c r="K12" s="13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4.25" customHeight="1">
      <c r="A13" s="2"/>
      <c r="B13" s="13"/>
      <c r="C13" s="15">
        <f t="shared" ref="C13:D13" si="5">SUM(C8:C12)</f>
        <v>485400</v>
      </c>
      <c r="D13" s="15">
        <f t="shared" si="5"/>
        <v>511268.62</v>
      </c>
      <c r="E13" s="14">
        <f t="shared" si="4"/>
        <v>0.0532934075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4.25" customHeight="1">
      <c r="A14" s="2" t="s">
        <v>38</v>
      </c>
      <c r="B14" s="13">
        <v>2000.0</v>
      </c>
      <c r="C14" s="13">
        <f t="shared" ref="C14:C17" si="6">12*B14</f>
        <v>24000</v>
      </c>
      <c r="D14" s="13">
        <v>25772.11</v>
      </c>
      <c r="E14" s="14">
        <f t="shared" si="4"/>
        <v>0.07383791667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4.25" customHeight="1">
      <c r="A15" s="2" t="s">
        <v>39</v>
      </c>
      <c r="B15" s="13">
        <v>5000.0</v>
      </c>
      <c r="C15" s="13">
        <f t="shared" si="6"/>
        <v>60000</v>
      </c>
      <c r="D15" s="13">
        <f>812751-SUM(D13,D14,D16,D17,H4,H5)</f>
        <v>95761.92</v>
      </c>
      <c r="E15" s="14">
        <f t="shared" si="4"/>
        <v>0.596032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4.25" customHeight="1">
      <c r="A16" s="2" t="s">
        <v>40</v>
      </c>
      <c r="B16" s="13">
        <v>2500.0</v>
      </c>
      <c r="C16" s="13">
        <f t="shared" si="6"/>
        <v>30000</v>
      </c>
      <c r="D16" s="13">
        <v>19750.0</v>
      </c>
      <c r="E16" s="14">
        <f t="shared" si="4"/>
        <v>-0.3416666667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4.25" customHeight="1">
      <c r="A17" s="2" t="s">
        <v>41</v>
      </c>
      <c r="B17" s="13">
        <v>7250.0</v>
      </c>
      <c r="C17" s="13">
        <f t="shared" si="6"/>
        <v>87000</v>
      </c>
      <c r="D17" s="13">
        <v>76430.35</v>
      </c>
      <c r="E17" s="14">
        <f t="shared" si="4"/>
        <v>-0.1214902299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4.25" customHeight="1">
      <c r="A18" s="2"/>
      <c r="B18" s="13"/>
      <c r="C18" s="15">
        <f t="shared" ref="C18:D18" si="7">SUM(C14:C17)</f>
        <v>201000</v>
      </c>
      <c r="D18" s="15">
        <f t="shared" si="7"/>
        <v>217714.38</v>
      </c>
      <c r="E18" s="14">
        <f t="shared" si="4"/>
        <v>0.0831561194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4.25" customHeight="1">
      <c r="A19" s="2"/>
      <c r="B19" s="2"/>
      <c r="C19" s="2"/>
      <c r="D19" s="2"/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4.25" customHeight="1">
      <c r="A20" s="2" t="s">
        <v>42</v>
      </c>
      <c r="B20" s="2"/>
      <c r="C20" s="13">
        <f>C6-(C13+C18)</f>
        <v>0</v>
      </c>
      <c r="D20" s="17">
        <f>D6-(SUM(D18,D13))</f>
        <v>-4683.26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14"/>
    <col customWidth="1" min="2" max="2" width="10.29"/>
    <col customWidth="1" min="3" max="3" width="11.86"/>
    <col customWidth="1" min="4" max="4" width="13.43"/>
    <col customWidth="1" min="5" max="6" width="10.0"/>
    <col customWidth="1" min="7" max="7" width="10.57"/>
    <col customWidth="1" min="8" max="8" width="10.43"/>
    <col customWidth="1" min="9" max="10" width="10.0"/>
    <col customWidth="1" min="11" max="12" width="11.0"/>
    <col customWidth="1" min="13" max="13" width="10.0"/>
    <col customWidth="1" min="14" max="14" width="10.43"/>
    <col customWidth="1" min="15" max="15" width="12.43"/>
    <col customWidth="1" min="16" max="16" width="10.0"/>
    <col customWidth="1" min="17" max="17" width="8.86"/>
    <col customWidth="1" min="18" max="18" width="11.0"/>
    <col customWidth="1" min="19" max="27" width="13.29"/>
    <col customWidth="1" min="28" max="39" width="8.71"/>
  </cols>
  <sheetData>
    <row r="1" ht="14.25" customHeight="1"/>
    <row r="2" ht="14.25" customHeight="1">
      <c r="A2" s="4"/>
      <c r="B2" s="5" t="s">
        <v>43</v>
      </c>
      <c r="C2" s="5" t="s">
        <v>44</v>
      </c>
      <c r="D2" s="5" t="s">
        <v>45</v>
      </c>
      <c r="E2" s="5" t="s">
        <v>46</v>
      </c>
      <c r="F2" s="5" t="s">
        <v>47</v>
      </c>
      <c r="G2" s="5" t="s">
        <v>48</v>
      </c>
      <c r="H2" s="5" t="s">
        <v>49</v>
      </c>
      <c r="I2" s="5" t="s">
        <v>50</v>
      </c>
      <c r="J2" s="5" t="s">
        <v>51</v>
      </c>
      <c r="K2" s="5" t="s">
        <v>52</v>
      </c>
      <c r="L2" s="5" t="s">
        <v>53</v>
      </c>
      <c r="M2" s="5" t="s">
        <v>54</v>
      </c>
      <c r="N2" s="5" t="s">
        <v>55</v>
      </c>
      <c r="O2" s="5" t="s">
        <v>56</v>
      </c>
      <c r="P2" s="5" t="s">
        <v>57</v>
      </c>
      <c r="Q2" s="5" t="s">
        <v>58</v>
      </c>
      <c r="R2" s="5" t="s">
        <v>59</v>
      </c>
      <c r="S2" s="5" t="s">
        <v>60</v>
      </c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ht="14.25" customHeight="1">
      <c r="A3" s="11" t="s">
        <v>24</v>
      </c>
      <c r="B3" s="18">
        <f>175*12</f>
        <v>2100</v>
      </c>
      <c r="C3" s="18">
        <f>350*12</f>
        <v>4200</v>
      </c>
      <c r="D3" s="18">
        <f>200*12</f>
        <v>2400</v>
      </c>
      <c r="E3" s="18">
        <f t="shared" ref="E3:F3" si="1">350*12</f>
        <v>4200</v>
      </c>
      <c r="F3" s="18">
        <f t="shared" si="1"/>
        <v>4200</v>
      </c>
      <c r="G3" s="18">
        <f t="shared" ref="G3:I3" si="2">150*12</f>
        <v>1800</v>
      </c>
      <c r="H3" s="18">
        <f t="shared" si="2"/>
        <v>1800</v>
      </c>
      <c r="I3" s="18">
        <f t="shared" si="2"/>
        <v>1800</v>
      </c>
      <c r="J3" s="18">
        <f>375*12</f>
        <v>4500</v>
      </c>
      <c r="K3" s="18">
        <f>200*12</f>
        <v>2400</v>
      </c>
      <c r="L3" s="18">
        <f>700*12</f>
        <v>8400</v>
      </c>
      <c r="M3" s="18">
        <f>600*12</f>
        <v>7200</v>
      </c>
      <c r="N3" s="18">
        <f>100*12</f>
        <v>1200</v>
      </c>
      <c r="O3" s="18">
        <f>175*12</f>
        <v>2100</v>
      </c>
      <c r="P3" s="18">
        <f>150*12</f>
        <v>1800</v>
      </c>
      <c r="Q3" s="18">
        <f>25*12</f>
        <v>300</v>
      </c>
      <c r="R3" s="18">
        <f>3050*12</f>
        <v>36600</v>
      </c>
      <c r="S3" s="13">
        <f>SUM(B3:R3)</f>
        <v>87000</v>
      </c>
    </row>
    <row r="4" ht="14.25" customHeight="1">
      <c r="A4" s="11" t="s">
        <v>61</v>
      </c>
      <c r="B4" s="19">
        <v>459.0</v>
      </c>
      <c r="C4" s="19">
        <v>570.0</v>
      </c>
      <c r="D4" s="19">
        <v>130.0</v>
      </c>
      <c r="E4" s="19">
        <v>1317.0</v>
      </c>
      <c r="F4" s="19">
        <v>2133.0</v>
      </c>
      <c r="G4" s="19" t="s">
        <v>62</v>
      </c>
      <c r="H4" s="19">
        <v>108.0</v>
      </c>
      <c r="I4" s="19">
        <v>1359.0</v>
      </c>
      <c r="J4" s="19">
        <v>653.0</v>
      </c>
      <c r="K4" s="19">
        <v>14053.0</v>
      </c>
      <c r="L4" s="19">
        <v>331.0</v>
      </c>
      <c r="M4" s="19">
        <v>957.0</v>
      </c>
      <c r="N4" s="19">
        <v>5000.0</v>
      </c>
      <c r="O4" s="19">
        <v>26.0</v>
      </c>
      <c r="P4" s="19">
        <v>4.0</v>
      </c>
      <c r="Q4" s="19">
        <v>145.0</v>
      </c>
      <c r="R4" s="19">
        <v>2117.0</v>
      </c>
      <c r="S4" s="20">
        <v>29363.0</v>
      </c>
    </row>
    <row r="5" ht="14.25" customHeight="1">
      <c r="A5" s="11" t="s">
        <v>63</v>
      </c>
      <c r="B5" s="21">
        <v>2559.0</v>
      </c>
      <c r="C5" s="21">
        <v>4770.0</v>
      </c>
      <c r="D5" s="21">
        <v>2530.0</v>
      </c>
      <c r="E5" s="21">
        <v>5517.0</v>
      </c>
      <c r="F5" s="21">
        <v>6333.0</v>
      </c>
      <c r="G5" s="21">
        <v>1800.0</v>
      </c>
      <c r="H5" s="21">
        <v>1908.0</v>
      </c>
      <c r="I5" s="21">
        <v>3159.0</v>
      </c>
      <c r="J5" s="21">
        <v>5153.0</v>
      </c>
      <c r="K5" s="21">
        <v>16453.0</v>
      </c>
      <c r="L5" s="21">
        <v>8731.0</v>
      </c>
      <c r="M5" s="21">
        <v>8157.0</v>
      </c>
      <c r="N5" s="21">
        <v>6200.0</v>
      </c>
      <c r="O5" s="21">
        <v>2126.0</v>
      </c>
      <c r="P5" s="21">
        <v>1804.0</v>
      </c>
      <c r="Q5" s="21">
        <v>445.0</v>
      </c>
      <c r="R5" s="21">
        <v>38717.0</v>
      </c>
      <c r="S5" s="22">
        <v>116363.0</v>
      </c>
    </row>
    <row r="6" ht="14.25" customHeight="1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4"/>
    </row>
    <row r="7" ht="14.25" customHeight="1">
      <c r="A7" s="11" t="s">
        <v>64</v>
      </c>
      <c r="B7" s="19">
        <v>1078.0</v>
      </c>
      <c r="C7" s="19">
        <v>5954.0</v>
      </c>
      <c r="D7" s="19">
        <v>2961.0</v>
      </c>
      <c r="E7" s="19">
        <v>4800.0</v>
      </c>
      <c r="F7" s="19">
        <v>1803.0</v>
      </c>
      <c r="G7" s="19">
        <v>640.0</v>
      </c>
      <c r="H7" s="19">
        <v>358.0</v>
      </c>
      <c r="I7" s="19">
        <v>400.0</v>
      </c>
      <c r="J7" s="19">
        <v>2967.0</v>
      </c>
      <c r="K7" s="19">
        <v>4151.0</v>
      </c>
      <c r="L7" s="19">
        <v>12911.0</v>
      </c>
      <c r="M7" s="19">
        <v>6993.0</v>
      </c>
      <c r="N7" s="19">
        <v>4450.0</v>
      </c>
      <c r="O7" s="19">
        <v>970.0</v>
      </c>
      <c r="P7" s="19">
        <v>1239.0</v>
      </c>
      <c r="Q7" s="19">
        <v>12.0</v>
      </c>
      <c r="R7" s="19">
        <v>24741.0</v>
      </c>
      <c r="S7" s="20">
        <v>76430.0</v>
      </c>
    </row>
    <row r="8" ht="14.25" customHeight="1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</row>
    <row r="9" ht="14.25" customHeight="1">
      <c r="A9" s="25" t="s">
        <v>65</v>
      </c>
      <c r="B9" s="22">
        <v>1481.0</v>
      </c>
      <c r="C9" s="26">
        <v>-1184.0</v>
      </c>
      <c r="D9" s="26">
        <v>-431.0</v>
      </c>
      <c r="E9" s="22">
        <v>717.0</v>
      </c>
      <c r="F9" s="22">
        <v>4531.0</v>
      </c>
      <c r="G9" s="22">
        <v>1160.0</v>
      </c>
      <c r="H9" s="22">
        <v>1550.0</v>
      </c>
      <c r="I9" s="22">
        <v>2759.0</v>
      </c>
      <c r="J9" s="22">
        <v>2186.0</v>
      </c>
      <c r="K9" s="22">
        <v>12302.0</v>
      </c>
      <c r="L9" s="26">
        <v>-4180.0</v>
      </c>
      <c r="M9" s="22">
        <v>1164.0</v>
      </c>
      <c r="N9" s="22">
        <v>1750.0</v>
      </c>
      <c r="O9" s="22">
        <v>1156.0</v>
      </c>
      <c r="P9" s="22">
        <v>565.0</v>
      </c>
      <c r="Q9" s="22">
        <v>433.0</v>
      </c>
      <c r="R9" s="22">
        <v>13976.0</v>
      </c>
      <c r="S9" s="22">
        <v>39933.0</v>
      </c>
    </row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52.43"/>
    <col customWidth="1" min="2" max="2" width="12.71"/>
    <col customWidth="1" min="3" max="26" width="8.71"/>
  </cols>
  <sheetData>
    <row r="1" ht="14.25" customHeight="1">
      <c r="A1" s="1" t="s">
        <v>0</v>
      </c>
    </row>
    <row r="2" ht="14.25" customHeight="1">
      <c r="A2" s="1" t="s">
        <v>66</v>
      </c>
    </row>
    <row r="3" ht="14.25" customHeight="1">
      <c r="A3" s="3" t="s">
        <v>67</v>
      </c>
    </row>
    <row r="4" ht="14.25" customHeight="1"/>
    <row r="5" ht="14.25" customHeight="1">
      <c r="A5" s="4"/>
      <c r="B5" s="5" t="s">
        <v>3</v>
      </c>
    </row>
    <row r="6" ht="14.25" customHeight="1">
      <c r="A6" s="6" t="s">
        <v>68</v>
      </c>
      <c r="B6" s="27"/>
    </row>
    <row r="7" ht="14.25" customHeight="1">
      <c r="A7" s="6" t="s">
        <v>69</v>
      </c>
      <c r="B7" s="27"/>
    </row>
    <row r="8" ht="14.25" customHeight="1">
      <c r="A8" s="6" t="s">
        <v>70</v>
      </c>
      <c r="B8" s="27"/>
    </row>
    <row r="9" ht="14.25" customHeight="1">
      <c r="A9" s="6" t="s">
        <v>71</v>
      </c>
      <c r="B9" s="27"/>
    </row>
    <row r="10" ht="14.25" customHeight="1">
      <c r="A10" s="6" t="s">
        <v>72</v>
      </c>
      <c r="B10" s="27">
        <f>580187.85</f>
        <v>580187.85</v>
      </c>
    </row>
    <row r="11" ht="14.25" customHeight="1">
      <c r="A11" s="6" t="s">
        <v>73</v>
      </c>
      <c r="B11" s="27">
        <f>4301.25</f>
        <v>4301.25</v>
      </c>
    </row>
    <row r="12" ht="14.25" customHeight="1">
      <c r="A12" s="6" t="s">
        <v>74</v>
      </c>
      <c r="B12" s="27">
        <f>232064.41</f>
        <v>232064.41</v>
      </c>
    </row>
    <row r="13" ht="14.25" customHeight="1">
      <c r="A13" s="6" t="s">
        <v>75</v>
      </c>
      <c r="B13" s="27">
        <f>9.8</f>
        <v>9.8</v>
      </c>
    </row>
    <row r="14" ht="14.25" hidden="1" customHeight="1">
      <c r="A14" s="6" t="s">
        <v>76</v>
      </c>
      <c r="B14" s="28">
        <f>((((B9)+(B10))+(B11))+(B12))+(B13)</f>
        <v>816563.31</v>
      </c>
    </row>
    <row r="15" ht="14.25" customHeight="1">
      <c r="A15" s="6" t="s">
        <v>77</v>
      </c>
      <c r="B15" s="28">
        <f>B14</f>
        <v>816563.31</v>
      </c>
    </row>
    <row r="16" ht="14.25" customHeight="1">
      <c r="A16" s="6" t="s">
        <v>78</v>
      </c>
      <c r="B16" s="27"/>
    </row>
    <row r="17" ht="14.25" customHeight="1">
      <c r="A17" s="6" t="s">
        <v>79</v>
      </c>
      <c r="B17" s="27"/>
    </row>
    <row r="18" ht="14.25" customHeight="1">
      <c r="A18" s="6" t="s">
        <v>80</v>
      </c>
      <c r="B18" s="27">
        <f>10428.44</f>
        <v>10428.44</v>
      </c>
    </row>
    <row r="19" ht="14.25" hidden="1" customHeight="1">
      <c r="A19" s="6" t="s">
        <v>81</v>
      </c>
      <c r="B19" s="28">
        <f>(B17)+(B18)</f>
        <v>10428.44</v>
      </c>
    </row>
    <row r="20" ht="14.25" customHeight="1">
      <c r="A20" s="6" t="s">
        <v>82</v>
      </c>
      <c r="B20" s="28">
        <f>B19</f>
        <v>10428.44</v>
      </c>
    </row>
    <row r="21" ht="14.25" customHeight="1">
      <c r="A21" s="6" t="s">
        <v>83</v>
      </c>
      <c r="B21" s="28">
        <f>(B15)+(B20)</f>
        <v>826991.75</v>
      </c>
    </row>
    <row r="22" ht="14.25" customHeight="1">
      <c r="A22" s="6" t="s">
        <v>84</v>
      </c>
      <c r="B22" s="27"/>
    </row>
    <row r="23" ht="14.25" customHeight="1">
      <c r="A23" s="6" t="s">
        <v>85</v>
      </c>
      <c r="B23" s="27"/>
    </row>
    <row r="24" ht="14.25" customHeight="1">
      <c r="A24" s="6" t="s">
        <v>86</v>
      </c>
      <c r="B24" s="27">
        <f>52865.18</f>
        <v>52865.18</v>
      </c>
    </row>
    <row r="25" ht="14.25" customHeight="1">
      <c r="A25" s="6" t="s">
        <v>87</v>
      </c>
      <c r="B25" s="27">
        <f>205322.35</f>
        <v>205322.35</v>
      </c>
    </row>
    <row r="26" ht="14.25" customHeight="1">
      <c r="A26" s="6" t="s">
        <v>88</v>
      </c>
      <c r="B26" s="27">
        <f>337638.35</f>
        <v>337638.35</v>
      </c>
    </row>
    <row r="27" ht="14.25" customHeight="1">
      <c r="A27" s="6" t="s">
        <v>89</v>
      </c>
      <c r="B27" s="27">
        <f>307972.76</f>
        <v>307972.76</v>
      </c>
    </row>
    <row r="28" ht="14.25" customHeight="1">
      <c r="A28" s="6" t="s">
        <v>90</v>
      </c>
      <c r="B28" s="28">
        <f>((((B23)+(B24))+(B25))+(B26))+(B27)</f>
        <v>903798.64</v>
      </c>
    </row>
    <row r="29" ht="14.25" customHeight="1">
      <c r="A29" s="6" t="s">
        <v>91</v>
      </c>
      <c r="B29" s="27">
        <f>-400958.7</f>
        <v>-400958.7</v>
      </c>
    </row>
    <row r="30" ht="14.25" customHeight="1">
      <c r="A30" s="6" t="s">
        <v>92</v>
      </c>
      <c r="B30" s="28">
        <f>(B28)+(B29)</f>
        <v>502839.94</v>
      </c>
    </row>
    <row r="31" ht="14.25" customHeight="1">
      <c r="A31" s="6" t="s">
        <v>93</v>
      </c>
      <c r="B31" s="29">
        <f>(B21)+(B30)</f>
        <v>1329831.69</v>
      </c>
    </row>
    <row r="32" ht="14.25" customHeight="1">
      <c r="A32" s="6"/>
      <c r="B32" s="30"/>
    </row>
    <row r="33" ht="14.25" customHeight="1">
      <c r="A33" s="6" t="s">
        <v>94</v>
      </c>
      <c r="B33" s="27"/>
    </row>
    <row r="34" ht="14.25" customHeight="1">
      <c r="A34" s="6" t="s">
        <v>95</v>
      </c>
      <c r="B34" s="27"/>
    </row>
    <row r="35" ht="14.25" customHeight="1">
      <c r="A35" s="6" t="s">
        <v>96</v>
      </c>
      <c r="B35" s="27"/>
    </row>
    <row r="36" ht="14.25" customHeight="1">
      <c r="A36" s="6" t="s">
        <v>97</v>
      </c>
      <c r="B36" s="27"/>
    </row>
    <row r="37" ht="14.25" customHeight="1">
      <c r="A37" s="6" t="s">
        <v>98</v>
      </c>
      <c r="B37" s="27"/>
    </row>
    <row r="38" ht="14.25" customHeight="1">
      <c r="A38" s="6" t="s">
        <v>99</v>
      </c>
      <c r="B38" s="27">
        <f>14214.7</f>
        <v>14214.7</v>
      </c>
    </row>
    <row r="39" ht="14.25" hidden="1" customHeight="1">
      <c r="A39" s="6" t="s">
        <v>100</v>
      </c>
      <c r="B39" s="28">
        <f>(B37)+(B38)</f>
        <v>14214.7</v>
      </c>
    </row>
    <row r="40" ht="14.25" customHeight="1">
      <c r="A40" s="6" t="s">
        <v>101</v>
      </c>
      <c r="B40" s="28">
        <f>B39</f>
        <v>14214.7</v>
      </c>
    </row>
    <row r="41" ht="14.25" customHeight="1">
      <c r="A41" s="6" t="s">
        <v>102</v>
      </c>
      <c r="B41" s="27"/>
    </row>
    <row r="42" ht="14.25" customHeight="1">
      <c r="A42" s="6" t="s">
        <v>103</v>
      </c>
      <c r="B42" s="27"/>
    </row>
    <row r="43" ht="14.25" customHeight="1">
      <c r="A43" s="6" t="s">
        <v>104</v>
      </c>
      <c r="B43" s="27">
        <f>499900</f>
        <v>499900</v>
      </c>
    </row>
    <row r="44" ht="14.25" hidden="1" customHeight="1">
      <c r="A44" s="6" t="s">
        <v>105</v>
      </c>
      <c r="B44" s="28">
        <f>(B42)+(B43)</f>
        <v>499900</v>
      </c>
    </row>
    <row r="45" ht="14.25" customHeight="1">
      <c r="A45" s="6" t="s">
        <v>106</v>
      </c>
      <c r="B45" s="28">
        <f>B44</f>
        <v>499900</v>
      </c>
    </row>
    <row r="46" ht="14.25" hidden="1" customHeight="1">
      <c r="A46" s="6" t="s">
        <v>107</v>
      </c>
      <c r="B46" s="28">
        <f>(B40)+(B45)</f>
        <v>514114.7</v>
      </c>
    </row>
    <row r="47" ht="14.25" customHeight="1">
      <c r="A47" s="6" t="s">
        <v>108</v>
      </c>
      <c r="B47" s="28">
        <f>B46</f>
        <v>514114.7</v>
      </c>
    </row>
    <row r="48" ht="14.25" customHeight="1">
      <c r="A48" s="6" t="s">
        <v>109</v>
      </c>
      <c r="B48" s="27"/>
    </row>
    <row r="49" ht="14.25" customHeight="1">
      <c r="A49" s="6" t="s">
        <v>110</v>
      </c>
      <c r="B49" s="27">
        <f>903858.5</f>
        <v>903858.5</v>
      </c>
    </row>
    <row r="50" ht="14.25" customHeight="1">
      <c r="A50" s="6" t="s">
        <v>111</v>
      </c>
      <c r="B50" s="27">
        <f>-88141.51</f>
        <v>-88141.51</v>
      </c>
    </row>
    <row r="51" ht="14.25" customHeight="1">
      <c r="A51" s="6" t="s">
        <v>112</v>
      </c>
      <c r="B51" s="28">
        <f>(B49)+(B50)</f>
        <v>815716.99</v>
      </c>
    </row>
    <row r="52" ht="14.25" customHeight="1">
      <c r="A52" s="6" t="s">
        <v>113</v>
      </c>
      <c r="B52" s="29">
        <f>(B47)+(B51)</f>
        <v>1329831.69</v>
      </c>
    </row>
    <row r="53" ht="14.25" customHeight="1">
      <c r="A53" s="6"/>
      <c r="B53" s="7"/>
    </row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B1"/>
    <mergeCell ref="A2:B2"/>
    <mergeCell ref="A3:B3"/>
  </mergeCells>
  <printOptions horizontalCentered="1"/>
  <pageMargins bottom="0.75" footer="0.0" header="0.0" left="0.7" right="0.7" top="0.75"/>
  <pageSetup fitToHeight="0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52.43"/>
    <col customWidth="1" min="2" max="2" width="12.71"/>
    <col customWidth="1" min="3" max="26" width="8.71"/>
  </cols>
  <sheetData>
    <row r="1" ht="14.25" customHeight="1">
      <c r="A1" s="1" t="s">
        <v>0</v>
      </c>
    </row>
    <row r="2" ht="14.25" customHeight="1">
      <c r="A2" s="1" t="s">
        <v>114</v>
      </c>
    </row>
    <row r="3" ht="14.25" customHeight="1">
      <c r="A3" s="3" t="s">
        <v>2</v>
      </c>
    </row>
    <row r="4" ht="14.25" customHeight="1"/>
    <row r="5" ht="14.25" customHeight="1">
      <c r="A5" s="31"/>
      <c r="B5" s="5" t="s">
        <v>3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ht="14.25" customHeight="1">
      <c r="A6" s="6" t="s">
        <v>115</v>
      </c>
      <c r="B6" s="27"/>
    </row>
    <row r="7" ht="14.25" customHeight="1">
      <c r="A7" s="6" t="s">
        <v>116</v>
      </c>
      <c r="B7" s="27"/>
    </row>
    <row r="8" ht="14.25" customHeight="1">
      <c r="A8" s="6" t="s">
        <v>117</v>
      </c>
      <c r="B8" s="27">
        <f>5754.84</f>
        <v>5754.84</v>
      </c>
    </row>
    <row r="9" ht="14.25" customHeight="1">
      <c r="A9" s="6" t="s">
        <v>118</v>
      </c>
      <c r="B9" s="27">
        <f>780.84</f>
        <v>780.84</v>
      </c>
    </row>
    <row r="10" ht="14.25" customHeight="1">
      <c r="A10" s="6" t="s">
        <v>119</v>
      </c>
      <c r="B10" s="28">
        <f>((B7)+(B8))+(B9)</f>
        <v>6535.68</v>
      </c>
    </row>
    <row r="11" ht="14.25" customHeight="1">
      <c r="A11" s="6" t="s">
        <v>120</v>
      </c>
      <c r="B11" s="27"/>
    </row>
    <row r="12" ht="14.25" customHeight="1">
      <c r="A12" s="6" t="s">
        <v>121</v>
      </c>
      <c r="B12" s="27">
        <f>2400</f>
        <v>2400</v>
      </c>
    </row>
    <row r="13" ht="14.25" customHeight="1">
      <c r="A13" s="6" t="s">
        <v>122</v>
      </c>
      <c r="B13" s="28">
        <f>(B11)+(B12)</f>
        <v>2400</v>
      </c>
    </row>
    <row r="14" ht="14.25" customHeight="1">
      <c r="A14" s="6" t="s">
        <v>123</v>
      </c>
      <c r="B14" s="27"/>
    </row>
    <row r="15" ht="14.25" customHeight="1">
      <c r="A15" s="6" t="s">
        <v>124</v>
      </c>
      <c r="B15" s="27">
        <f>29389.89</f>
        <v>29389.89</v>
      </c>
    </row>
    <row r="16" ht="14.25" customHeight="1">
      <c r="A16" s="6" t="s">
        <v>125</v>
      </c>
      <c r="B16" s="27">
        <f>677948.08</f>
        <v>677948.08</v>
      </c>
    </row>
    <row r="17" ht="14.25" customHeight="1">
      <c r="A17" s="6" t="s">
        <v>126</v>
      </c>
      <c r="B17" s="28">
        <f>((B14)+(B15))+(B16)</f>
        <v>707337.97</v>
      </c>
    </row>
    <row r="18" ht="14.25" customHeight="1">
      <c r="A18" s="6" t="s">
        <v>127</v>
      </c>
      <c r="B18" s="27">
        <f>707</f>
        <v>707</v>
      </c>
    </row>
    <row r="19" ht="14.25" customHeight="1">
      <c r="A19" s="6" t="s">
        <v>128</v>
      </c>
      <c r="B19" s="27">
        <f>714.53</f>
        <v>714.53</v>
      </c>
    </row>
    <row r="20" ht="14.25" customHeight="1">
      <c r="A20" s="6" t="s">
        <v>129</v>
      </c>
      <c r="B20" s="27">
        <f>1362.91</f>
        <v>1362.91</v>
      </c>
    </row>
    <row r="21" ht="14.25" customHeight="1">
      <c r="A21" s="6" t="s">
        <v>130</v>
      </c>
      <c r="B21" s="28">
        <f>((B18)+(B19))+(B20)</f>
        <v>2784.44</v>
      </c>
    </row>
    <row r="22" ht="14.25" customHeight="1">
      <c r="A22" s="6" t="s">
        <v>131</v>
      </c>
      <c r="B22" s="27">
        <f>5250.81</f>
        <v>5250.81</v>
      </c>
    </row>
    <row r="23" ht="14.25" customHeight="1">
      <c r="A23" s="6" t="s">
        <v>63</v>
      </c>
      <c r="B23" s="33">
        <f>((((B10)+(B13))+(B17))+(B21))+(B22)</f>
        <v>724308.9</v>
      </c>
    </row>
    <row r="24" ht="14.25" hidden="1" customHeight="1">
      <c r="A24" s="6" t="s">
        <v>132</v>
      </c>
      <c r="B24" s="28">
        <f>(B23)-(0)</f>
        <v>724308.9</v>
      </c>
    </row>
    <row r="25" ht="14.25" customHeight="1">
      <c r="A25" s="6"/>
      <c r="B25" s="30"/>
    </row>
    <row r="26" ht="14.25" customHeight="1">
      <c r="A26" s="6" t="s">
        <v>64</v>
      </c>
      <c r="B26" s="27"/>
    </row>
    <row r="27" ht="14.25" customHeight="1">
      <c r="A27" s="6" t="s">
        <v>133</v>
      </c>
      <c r="B27" s="27"/>
    </row>
    <row r="28" ht="14.25" customHeight="1">
      <c r="A28" s="6" t="s">
        <v>134</v>
      </c>
      <c r="B28" s="27">
        <f>22487.21</f>
        <v>22487.21</v>
      </c>
    </row>
    <row r="29" ht="14.25" customHeight="1">
      <c r="A29" s="6" t="s">
        <v>135</v>
      </c>
      <c r="B29" s="27">
        <f>19701.52</f>
        <v>19701.52</v>
      </c>
    </row>
    <row r="30" ht="14.25" customHeight="1">
      <c r="A30" s="6" t="s">
        <v>136</v>
      </c>
      <c r="B30" s="27">
        <f>19750</f>
        <v>19750</v>
      </c>
    </row>
    <row r="31" ht="14.25" customHeight="1">
      <c r="A31" s="6" t="s">
        <v>137</v>
      </c>
      <c r="B31" s="27">
        <f>13200</f>
        <v>13200</v>
      </c>
    </row>
    <row r="32" ht="14.25" customHeight="1">
      <c r="A32" s="6" t="s">
        <v>138</v>
      </c>
      <c r="B32" s="27">
        <f>120.17</f>
        <v>120.17</v>
      </c>
    </row>
    <row r="33" ht="14.25" customHeight="1">
      <c r="A33" s="6" t="s">
        <v>139</v>
      </c>
      <c r="B33" s="27">
        <f>24325.72</f>
        <v>24325.72</v>
      </c>
    </row>
    <row r="34" ht="14.25" customHeight="1">
      <c r="A34" s="6" t="s">
        <v>140</v>
      </c>
      <c r="B34" s="28">
        <f>((((((B27)+(B28))+(B29))+(B30))+(B31))+(B32))+(B33)</f>
        <v>99584.62</v>
      </c>
    </row>
    <row r="35" ht="14.25" customHeight="1">
      <c r="A35" s="6" t="s">
        <v>141</v>
      </c>
      <c r="B35" s="27"/>
    </row>
    <row r="36" ht="14.25" customHeight="1">
      <c r="A36" s="6" t="s">
        <v>142</v>
      </c>
      <c r="B36" s="27">
        <f>23089.99</f>
        <v>23089.99</v>
      </c>
    </row>
    <row r="37" ht="14.25" customHeight="1">
      <c r="A37" s="6" t="s">
        <v>143</v>
      </c>
      <c r="B37" s="27">
        <f>3568.88</f>
        <v>3568.88</v>
      </c>
    </row>
    <row r="38" ht="14.25" customHeight="1">
      <c r="A38" s="6" t="s">
        <v>144</v>
      </c>
      <c r="B38" s="27">
        <f>65.73</f>
        <v>65.73</v>
      </c>
    </row>
    <row r="39" ht="14.25" customHeight="1">
      <c r="A39" s="6" t="s">
        <v>145</v>
      </c>
      <c r="B39" s="27">
        <f>16447.14</f>
        <v>16447.14</v>
      </c>
    </row>
    <row r="40" ht="14.25" customHeight="1">
      <c r="A40" s="6" t="s">
        <v>146</v>
      </c>
      <c r="B40" s="27">
        <f>12635.13</f>
        <v>12635.13</v>
      </c>
    </row>
    <row r="41" ht="14.25" customHeight="1">
      <c r="A41" s="6" t="s">
        <v>147</v>
      </c>
      <c r="B41" s="27">
        <f>1045.86</f>
        <v>1045.86</v>
      </c>
    </row>
    <row r="42" ht="14.25" customHeight="1">
      <c r="A42" s="6" t="s">
        <v>148</v>
      </c>
      <c r="B42" s="27">
        <f>37818.03</f>
        <v>37818.03</v>
      </c>
    </row>
    <row r="43" ht="14.25" customHeight="1">
      <c r="A43" s="6" t="s">
        <v>149</v>
      </c>
      <c r="B43" s="28">
        <f>(((((((B35)+(B36))+(B37))+(B38))+(B39))+(B40))+(B41))+(B42)</f>
        <v>94670.76</v>
      </c>
    </row>
    <row r="44" ht="14.25" customHeight="1">
      <c r="A44" s="6" t="s">
        <v>150</v>
      </c>
      <c r="B44" s="27"/>
    </row>
    <row r="45" ht="14.25" customHeight="1">
      <c r="A45" s="6" t="s">
        <v>151</v>
      </c>
      <c r="B45" s="27">
        <f>412653.96</f>
        <v>412653.96</v>
      </c>
    </row>
    <row r="46" ht="14.25" customHeight="1">
      <c r="A46" s="6" t="s">
        <v>152</v>
      </c>
      <c r="B46" s="27">
        <f>57781.09</f>
        <v>57781.09</v>
      </c>
    </row>
    <row r="47" ht="14.25" customHeight="1">
      <c r="A47" s="6" t="s">
        <v>153</v>
      </c>
      <c r="B47" s="27">
        <f>41628</f>
        <v>41628</v>
      </c>
    </row>
    <row r="48" ht="14.25" customHeight="1">
      <c r="A48" s="6" t="s">
        <v>154</v>
      </c>
      <c r="B48" s="28">
        <f>(((B44)+(B45))+(B46))+(B47)</f>
        <v>512063.05</v>
      </c>
    </row>
    <row r="49" ht="14.25" customHeight="1">
      <c r="A49" s="6" t="s">
        <v>155</v>
      </c>
      <c r="B49" s="27"/>
    </row>
    <row r="50" ht="14.25" customHeight="1">
      <c r="A50" s="6" t="s">
        <v>156</v>
      </c>
      <c r="B50" s="27">
        <f>241.48</f>
        <v>241.48</v>
      </c>
    </row>
    <row r="51" ht="14.25" customHeight="1">
      <c r="A51" s="6" t="s">
        <v>157</v>
      </c>
      <c r="B51" s="28">
        <f>(B49)+(B50)</f>
        <v>241.48</v>
      </c>
    </row>
    <row r="52" ht="14.25" customHeight="1">
      <c r="A52" s="6" t="s">
        <v>158</v>
      </c>
      <c r="B52" s="27"/>
    </row>
    <row r="53" ht="14.25" customHeight="1">
      <c r="A53" s="6" t="s">
        <v>159</v>
      </c>
      <c r="B53" s="27">
        <f>36147.54</f>
        <v>36147.54</v>
      </c>
    </row>
    <row r="54" ht="14.25" customHeight="1">
      <c r="A54" s="6" t="s">
        <v>160</v>
      </c>
      <c r="B54" s="27">
        <f>19807.8</f>
        <v>19807.8</v>
      </c>
    </row>
    <row r="55" ht="14.25" customHeight="1">
      <c r="A55" s="6" t="s">
        <v>161</v>
      </c>
      <c r="B55" s="28">
        <f>((B52)+(B53))+(B54)</f>
        <v>55955.34</v>
      </c>
    </row>
    <row r="56" ht="14.25" customHeight="1">
      <c r="A56" s="6" t="s">
        <v>162</v>
      </c>
      <c r="B56" s="27"/>
    </row>
    <row r="57" ht="14.25" customHeight="1">
      <c r="A57" s="6" t="s">
        <v>163</v>
      </c>
      <c r="B57" s="27">
        <f>197.46</f>
        <v>197.46</v>
      </c>
    </row>
    <row r="58" ht="14.25" customHeight="1">
      <c r="A58" s="6" t="s">
        <v>164</v>
      </c>
      <c r="B58" s="27">
        <f>28177.33</f>
        <v>28177.33</v>
      </c>
    </row>
    <row r="59" ht="14.25" customHeight="1">
      <c r="A59" s="6" t="s">
        <v>165</v>
      </c>
      <c r="B59" s="27">
        <f>15351.13</f>
        <v>15351.13</v>
      </c>
    </row>
    <row r="60" ht="14.25" customHeight="1">
      <c r="A60" s="6" t="s">
        <v>166</v>
      </c>
      <c r="B60" s="27">
        <f>1173.17</f>
        <v>1173.17</v>
      </c>
    </row>
    <row r="61" ht="14.25" customHeight="1">
      <c r="A61" s="6" t="s">
        <v>167</v>
      </c>
      <c r="B61" s="27">
        <f>3333.16</f>
        <v>3333.16</v>
      </c>
    </row>
    <row r="62" ht="14.25" customHeight="1">
      <c r="A62" s="6" t="s">
        <v>168</v>
      </c>
      <c r="B62" s="27">
        <f>1460.33</f>
        <v>1460.33</v>
      </c>
    </row>
    <row r="63" ht="14.25" customHeight="1">
      <c r="A63" s="6" t="s">
        <v>169</v>
      </c>
      <c r="B63" s="27">
        <f>361.03</f>
        <v>361.03</v>
      </c>
    </row>
    <row r="64" ht="14.25" customHeight="1">
      <c r="A64" s="6" t="s">
        <v>170</v>
      </c>
      <c r="B64" s="27">
        <f>182.26</f>
        <v>182.26</v>
      </c>
    </row>
    <row r="65" ht="14.25" customHeight="1">
      <c r="A65" s="6" t="s">
        <v>171</v>
      </c>
      <c r="B65" s="28">
        <f>((((((((B56)+(B57))+(B58))+(B59))+(B60))+(B61))+(B62))+(B63))+(B64)</f>
        <v>50235.87</v>
      </c>
    </row>
    <row r="66" ht="14.25" customHeight="1">
      <c r="A66" s="6" t="s">
        <v>172</v>
      </c>
      <c r="B66" s="28">
        <f>(((((B34)+(B43))+(B48))+(B51))+(B55))+(B65)</f>
        <v>812751.12</v>
      </c>
    </row>
    <row r="67" ht="14.25" customHeight="1">
      <c r="A67" s="6"/>
      <c r="B67" s="28"/>
    </row>
    <row r="68" ht="14.25" customHeight="1">
      <c r="A68" s="6" t="s">
        <v>173</v>
      </c>
      <c r="B68" s="28">
        <f>(B24)-(B66)</f>
        <v>-88442.22</v>
      </c>
    </row>
    <row r="69" ht="14.25" customHeight="1">
      <c r="A69" s="6"/>
      <c r="B69" s="30"/>
    </row>
    <row r="70" ht="14.25" customHeight="1">
      <c r="A70" s="6" t="s">
        <v>61</v>
      </c>
      <c r="B70" s="27"/>
    </row>
    <row r="71" ht="14.25" customHeight="1">
      <c r="A71" s="6" t="s">
        <v>174</v>
      </c>
      <c r="B71" s="27"/>
    </row>
    <row r="72" ht="14.25" customHeight="1">
      <c r="A72" s="6" t="s">
        <v>175</v>
      </c>
      <c r="B72" s="27">
        <f>4650</f>
        <v>4650</v>
      </c>
    </row>
    <row r="73" ht="14.25" customHeight="1">
      <c r="A73" s="6" t="s">
        <v>176</v>
      </c>
      <c r="B73" s="28">
        <f>(B71)+(B72)</f>
        <v>4650</v>
      </c>
    </row>
    <row r="74" ht="14.25" customHeight="1">
      <c r="A74" s="6" t="s">
        <v>177</v>
      </c>
      <c r="B74" s="27"/>
    </row>
    <row r="75" ht="14.25" customHeight="1">
      <c r="A75" s="6" t="s">
        <v>178</v>
      </c>
      <c r="B75" s="27">
        <f>50.71</f>
        <v>50.71</v>
      </c>
    </row>
    <row r="76" ht="14.25" customHeight="1">
      <c r="A76" s="6" t="s">
        <v>179</v>
      </c>
      <c r="B76" s="27">
        <f>250</f>
        <v>250</v>
      </c>
    </row>
    <row r="77" ht="14.25" customHeight="1">
      <c r="A77" s="6" t="s">
        <v>180</v>
      </c>
      <c r="B77" s="28">
        <f>((B74)+(B75))+(B76)</f>
        <v>300.71</v>
      </c>
    </row>
    <row r="78" ht="14.25" customHeight="1">
      <c r="A78" s="6" t="s">
        <v>181</v>
      </c>
      <c r="B78" s="28">
        <f>(B73)+(B77)</f>
        <v>4950.71</v>
      </c>
    </row>
    <row r="79" ht="14.25" customHeight="1">
      <c r="A79" s="6"/>
      <c r="B79" s="30"/>
    </row>
    <row r="80" ht="14.25" customHeight="1">
      <c r="A80" s="6" t="s">
        <v>182</v>
      </c>
      <c r="B80" s="27"/>
    </row>
    <row r="81" ht="14.25" customHeight="1">
      <c r="A81" s="6" t="s">
        <v>183</v>
      </c>
      <c r="B81" s="27"/>
    </row>
    <row r="82" ht="14.25" customHeight="1">
      <c r="A82" s="6" t="s">
        <v>184</v>
      </c>
      <c r="B82" s="27">
        <f>4650</f>
        <v>4650</v>
      </c>
    </row>
    <row r="83" ht="14.25" hidden="1" customHeight="1">
      <c r="A83" s="6" t="s">
        <v>185</v>
      </c>
      <c r="B83" s="28">
        <f>(B81)+(B82)</f>
        <v>4650</v>
      </c>
    </row>
    <row r="84" ht="14.25" customHeight="1">
      <c r="A84" s="6" t="s">
        <v>186</v>
      </c>
      <c r="B84" s="28">
        <f>B83</f>
        <v>4650</v>
      </c>
    </row>
    <row r="85" ht="14.25" hidden="1" customHeight="1">
      <c r="A85" s="6" t="s">
        <v>187</v>
      </c>
      <c r="B85" s="28">
        <f>(B78)-(B84)</f>
        <v>300.71</v>
      </c>
    </row>
    <row r="86" ht="14.25" customHeight="1">
      <c r="A86" s="6"/>
      <c r="B86" s="30"/>
    </row>
    <row r="87" ht="14.25" customHeight="1">
      <c r="A87" s="6" t="s">
        <v>42</v>
      </c>
      <c r="B87" s="29">
        <f>(B68)+(B85)</f>
        <v>-88141.51</v>
      </c>
    </row>
    <row r="88" ht="14.25" customHeight="1">
      <c r="A88" s="6"/>
      <c r="B88" s="7"/>
    </row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B1"/>
    <mergeCell ref="A2:B2"/>
    <mergeCell ref="A3:B3"/>
  </mergeCells>
  <printOptions horizontalCentered="1"/>
  <pageMargins bottom="0.75" footer="0.0" header="0.0" left="0.7" right="0.7" top="0.75"/>
  <pageSetup fitToHeight="0" orientation="landscape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 outlineLevelCol="2"/>
  <cols>
    <col customWidth="1" min="1" max="1" width="53.57"/>
    <col customWidth="1" min="2" max="3" width="12.71" outlineLevel="1"/>
    <col customWidth="1" min="4" max="22" width="12.71" outlineLevel="2"/>
    <col customWidth="1" min="23" max="23" width="12.71" outlineLevel="1"/>
    <col customWidth="1" min="24" max="24" width="12.71"/>
    <col customWidth="1" hidden="1" min="25" max="26" width="12.71" outlineLevel="1"/>
    <col customWidth="1" min="27" max="27" width="12.71"/>
    <col customWidth="1" hidden="1" min="28" max="29" width="12.71" outlineLevel="1"/>
    <col customWidth="1" min="30" max="30" width="12.71"/>
    <col customWidth="1" hidden="1" min="31" max="37" width="12.71" outlineLevel="1"/>
    <col customWidth="1" min="38" max="38" width="12.71"/>
    <col customWidth="1" hidden="1" min="39" max="40" width="12.71" outlineLevel="1"/>
    <col customWidth="1" min="41" max="41" width="12.71"/>
    <col customWidth="1" hidden="1" min="42" max="50" width="12.71" outlineLevel="1"/>
    <col customWidth="1" min="51" max="51" width="12.71"/>
    <col customWidth="1" hidden="1" min="52" max="54" width="12.71"/>
    <col customWidth="1" min="55" max="55" width="12.71"/>
  </cols>
  <sheetData>
    <row r="1" ht="14.25" customHeight="1">
      <c r="A1" s="1" t="s">
        <v>0</v>
      </c>
    </row>
    <row r="2" ht="14.25" customHeight="1">
      <c r="A2" s="1" t="s">
        <v>188</v>
      </c>
    </row>
    <row r="3" ht="14.25" customHeight="1">
      <c r="A3" s="3" t="s">
        <v>2</v>
      </c>
    </row>
    <row r="4" ht="14.25" customHeight="1"/>
    <row r="5" ht="14.25" customHeight="1">
      <c r="A5" s="4"/>
      <c r="B5" s="5" t="s">
        <v>189</v>
      </c>
      <c r="C5" s="5" t="s">
        <v>190</v>
      </c>
      <c r="D5" s="5" t="s">
        <v>191</v>
      </c>
      <c r="E5" s="5" t="s">
        <v>43</v>
      </c>
      <c r="F5" s="5" t="s">
        <v>44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49</v>
      </c>
      <c r="L5" s="5" t="s">
        <v>50</v>
      </c>
      <c r="M5" s="5" t="s">
        <v>51</v>
      </c>
      <c r="N5" s="5" t="s">
        <v>52</v>
      </c>
      <c r="O5" s="5" t="s">
        <v>53</v>
      </c>
      <c r="P5" s="5" t="s">
        <v>54</v>
      </c>
      <c r="Q5" s="5" t="s">
        <v>55</v>
      </c>
      <c r="R5" s="5" t="s">
        <v>56</v>
      </c>
      <c r="S5" s="5" t="s">
        <v>57</v>
      </c>
      <c r="T5" s="5" t="s">
        <v>58</v>
      </c>
      <c r="U5" s="5" t="s">
        <v>59</v>
      </c>
      <c r="V5" s="5" t="s">
        <v>192</v>
      </c>
      <c r="W5" s="5" t="s">
        <v>193</v>
      </c>
      <c r="X5" s="5" t="s">
        <v>194</v>
      </c>
      <c r="Y5" s="5" t="s">
        <v>195</v>
      </c>
      <c r="Z5" s="5" t="s">
        <v>196</v>
      </c>
      <c r="AA5" s="5" t="s">
        <v>197</v>
      </c>
      <c r="AB5" s="5" t="s">
        <v>198</v>
      </c>
      <c r="AC5" s="5" t="s">
        <v>199</v>
      </c>
      <c r="AD5" s="5" t="s">
        <v>200</v>
      </c>
      <c r="AE5" s="5" t="s">
        <v>60</v>
      </c>
      <c r="AF5" s="5" t="s">
        <v>201</v>
      </c>
      <c r="AG5" s="5" t="s">
        <v>202</v>
      </c>
      <c r="AH5" s="5" t="s">
        <v>34</v>
      </c>
      <c r="AI5" s="5" t="s">
        <v>203</v>
      </c>
      <c r="AJ5" s="5" t="s">
        <v>204</v>
      </c>
      <c r="AK5" s="5" t="s">
        <v>205</v>
      </c>
      <c r="AL5" s="5" t="s">
        <v>206</v>
      </c>
      <c r="AM5" s="5" t="s">
        <v>207</v>
      </c>
      <c r="AN5" s="5" t="s">
        <v>208</v>
      </c>
      <c r="AO5" s="5" t="s">
        <v>209</v>
      </c>
      <c r="AP5" s="5" t="s">
        <v>210</v>
      </c>
      <c r="AQ5" s="5" t="s">
        <v>211</v>
      </c>
      <c r="AR5" s="5" t="s">
        <v>212</v>
      </c>
      <c r="AS5" s="5" t="s">
        <v>33</v>
      </c>
      <c r="AT5" s="5" t="s">
        <v>213</v>
      </c>
      <c r="AU5" s="5" t="s">
        <v>214</v>
      </c>
      <c r="AV5" s="5" t="s">
        <v>215</v>
      </c>
      <c r="AW5" s="5" t="s">
        <v>216</v>
      </c>
      <c r="AX5" s="5" t="s">
        <v>217</v>
      </c>
      <c r="AY5" s="5" t="s">
        <v>218</v>
      </c>
      <c r="AZ5" s="5" t="s">
        <v>219</v>
      </c>
      <c r="BA5" s="5" t="s">
        <v>220</v>
      </c>
      <c r="BB5" s="5" t="s">
        <v>221</v>
      </c>
      <c r="BC5" s="5" t="s">
        <v>222</v>
      </c>
    </row>
    <row r="6" ht="14.25" customHeight="1">
      <c r="A6" s="6" t="s">
        <v>115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</row>
    <row r="7" ht="14.25" customHeight="1">
      <c r="A7" s="6" t="s">
        <v>116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</row>
    <row r="8" ht="14.25" customHeight="1">
      <c r="A8" s="6" t="s">
        <v>117</v>
      </c>
      <c r="B8" s="27"/>
      <c r="C8" s="27">
        <f>3817.59</f>
        <v>3817.59</v>
      </c>
      <c r="D8" s="27"/>
      <c r="E8" s="27"/>
      <c r="F8" s="27">
        <f>5</f>
        <v>5</v>
      </c>
      <c r="G8" s="27"/>
      <c r="H8" s="27"/>
      <c r="I8" s="27">
        <f>11</f>
        <v>11</v>
      </c>
      <c r="J8" s="27"/>
      <c r="K8" s="27">
        <f>8</f>
        <v>8</v>
      </c>
      <c r="L8" s="27"/>
      <c r="M8" s="27">
        <f>48</f>
        <v>48</v>
      </c>
      <c r="N8" s="27">
        <f>75</f>
        <v>75</v>
      </c>
      <c r="O8" s="27">
        <f>297</f>
        <v>297</v>
      </c>
      <c r="P8" s="27">
        <f>5</f>
        <v>5</v>
      </c>
      <c r="Q8" s="27"/>
      <c r="R8" s="27"/>
      <c r="S8" s="27"/>
      <c r="T8" s="27">
        <f>145</f>
        <v>145</v>
      </c>
      <c r="U8" s="27">
        <f>112</f>
        <v>112</v>
      </c>
      <c r="V8" s="27">
        <f>1231.25</f>
        <v>1231.25</v>
      </c>
      <c r="W8" s="27">
        <f>((((((((((((((((((D8)+(E8))+(F8))+(G8))+(H8))+(I8))+(J8))+(K8))+(L8))+(M8))+(N8))+(O8))+(P8))+(Q8))+(R8))+(S8))+(T8))+(U8))+(V8)</f>
        <v>1937.25</v>
      </c>
      <c r="X8" s="27">
        <f t="shared" ref="X8:X10" si="1">((B8)+(C8))+(W8)</f>
        <v>5754.84</v>
      </c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>
        <f t="shared" ref="BC8:BC10" si="2">((((((((X8)+(AA8))+(AD8))+(AL8))+(AO8))+(AY8))+(AZ8))+(BA8))+(BB8)</f>
        <v>5754.84</v>
      </c>
    </row>
    <row r="9" ht="14.25" customHeight="1">
      <c r="A9" s="6" t="s">
        <v>118</v>
      </c>
      <c r="B9" s="27"/>
      <c r="C9" s="27">
        <f>780.84</f>
        <v>780.84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>
        <f t="shared" si="1"/>
        <v>780.84</v>
      </c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>
        <f t="shared" si="2"/>
        <v>780.84</v>
      </c>
    </row>
    <row r="10" ht="14.25" customHeight="1">
      <c r="A10" s="6" t="s">
        <v>119</v>
      </c>
      <c r="B10" s="28">
        <f t="shared" ref="B10:V10" si="3">((B7)+(B8))+(B9)</f>
        <v>0</v>
      </c>
      <c r="C10" s="28">
        <f t="shared" si="3"/>
        <v>4598.43</v>
      </c>
      <c r="D10" s="28">
        <f t="shared" si="3"/>
        <v>0</v>
      </c>
      <c r="E10" s="28">
        <f t="shared" si="3"/>
        <v>0</v>
      </c>
      <c r="F10" s="28">
        <f t="shared" si="3"/>
        <v>5</v>
      </c>
      <c r="G10" s="28">
        <f t="shared" si="3"/>
        <v>0</v>
      </c>
      <c r="H10" s="28">
        <f t="shared" si="3"/>
        <v>0</v>
      </c>
      <c r="I10" s="28">
        <f t="shared" si="3"/>
        <v>11</v>
      </c>
      <c r="J10" s="28">
        <f t="shared" si="3"/>
        <v>0</v>
      </c>
      <c r="K10" s="28">
        <f t="shared" si="3"/>
        <v>8</v>
      </c>
      <c r="L10" s="28">
        <f t="shared" si="3"/>
        <v>0</v>
      </c>
      <c r="M10" s="28">
        <f t="shared" si="3"/>
        <v>48</v>
      </c>
      <c r="N10" s="28">
        <f t="shared" si="3"/>
        <v>75</v>
      </c>
      <c r="O10" s="28">
        <f t="shared" si="3"/>
        <v>297</v>
      </c>
      <c r="P10" s="28">
        <f t="shared" si="3"/>
        <v>5</v>
      </c>
      <c r="Q10" s="28">
        <f t="shared" si="3"/>
        <v>0</v>
      </c>
      <c r="R10" s="28">
        <f t="shared" si="3"/>
        <v>0</v>
      </c>
      <c r="S10" s="28">
        <f t="shared" si="3"/>
        <v>0</v>
      </c>
      <c r="T10" s="28">
        <f t="shared" si="3"/>
        <v>145</v>
      </c>
      <c r="U10" s="28">
        <f t="shared" si="3"/>
        <v>112</v>
      </c>
      <c r="V10" s="28">
        <f t="shared" si="3"/>
        <v>1231.25</v>
      </c>
      <c r="W10" s="28">
        <f>((((((((((((((((((D10)+(E10))+(F10))+(G10))+(H10))+(I10))+(J10))+(K10))+(L10))+(M10))+(N10))+(O10))+(P10))+(Q10))+(R10))+(S10))+(T10))+(U10))+(V10)</f>
        <v>1937.25</v>
      </c>
      <c r="X10" s="28">
        <f t="shared" si="1"/>
        <v>6535.68</v>
      </c>
      <c r="Y10" s="28">
        <f t="shared" ref="Y10:Z10" si="4">((Y7)+(Y8))+(Y9)</f>
        <v>0</v>
      </c>
      <c r="Z10" s="28">
        <f t="shared" si="4"/>
        <v>0</v>
      </c>
      <c r="AA10" s="28">
        <f>(Y10)+(Z10)</f>
        <v>0</v>
      </c>
      <c r="AB10" s="28">
        <f t="shared" ref="AB10:AC10" si="5">((AB7)+(AB8))+(AB9)</f>
        <v>0</v>
      </c>
      <c r="AC10" s="28">
        <f t="shared" si="5"/>
        <v>0</v>
      </c>
      <c r="AD10" s="28">
        <f>(AB10)+(AC10)</f>
        <v>0</v>
      </c>
      <c r="AE10" s="28">
        <f t="shared" ref="AE10:AK10" si="6">((AE7)+(AE8))+(AE9)</f>
        <v>0</v>
      </c>
      <c r="AF10" s="28">
        <f t="shared" si="6"/>
        <v>0</v>
      </c>
      <c r="AG10" s="28">
        <f t="shared" si="6"/>
        <v>0</v>
      </c>
      <c r="AH10" s="28">
        <f t="shared" si="6"/>
        <v>0</v>
      </c>
      <c r="AI10" s="28">
        <f t="shared" si="6"/>
        <v>0</v>
      </c>
      <c r="AJ10" s="28">
        <f t="shared" si="6"/>
        <v>0</v>
      </c>
      <c r="AK10" s="28">
        <f t="shared" si="6"/>
        <v>0</v>
      </c>
      <c r="AL10" s="28">
        <f>((((((AE10)+(AF10))+(AG10))+(AH10))+(AI10))+(AJ10))+(AK10)</f>
        <v>0</v>
      </c>
      <c r="AM10" s="28">
        <f t="shared" ref="AM10:AN10" si="7">((AM7)+(AM8))+(AM9)</f>
        <v>0</v>
      </c>
      <c r="AN10" s="28">
        <f t="shared" si="7"/>
        <v>0</v>
      </c>
      <c r="AO10" s="28">
        <f>(AM10)+(AN10)</f>
        <v>0</v>
      </c>
      <c r="AP10" s="28">
        <f t="shared" ref="AP10:AX10" si="8">((AP7)+(AP8))+(AP9)</f>
        <v>0</v>
      </c>
      <c r="AQ10" s="28">
        <f t="shared" si="8"/>
        <v>0</v>
      </c>
      <c r="AR10" s="28">
        <f t="shared" si="8"/>
        <v>0</v>
      </c>
      <c r="AS10" s="28">
        <f t="shared" si="8"/>
        <v>0</v>
      </c>
      <c r="AT10" s="28">
        <f t="shared" si="8"/>
        <v>0</v>
      </c>
      <c r="AU10" s="28">
        <f t="shared" si="8"/>
        <v>0</v>
      </c>
      <c r="AV10" s="28">
        <f t="shared" si="8"/>
        <v>0</v>
      </c>
      <c r="AW10" s="28">
        <f t="shared" si="8"/>
        <v>0</v>
      </c>
      <c r="AX10" s="28">
        <f t="shared" si="8"/>
        <v>0</v>
      </c>
      <c r="AY10" s="28">
        <f>((((((((AP10)+(AQ10))+(AR10))+(AS10))+(AT10))+(AU10))+(AV10))+(AW10))+(AX10)</f>
        <v>0</v>
      </c>
      <c r="AZ10" s="28">
        <f t="shared" ref="AZ10:BB10" si="9">((AZ7)+(AZ8))+(AZ9)</f>
        <v>0</v>
      </c>
      <c r="BA10" s="28">
        <f t="shared" si="9"/>
        <v>0</v>
      </c>
      <c r="BB10" s="28">
        <f t="shared" si="9"/>
        <v>0</v>
      </c>
      <c r="BC10" s="28">
        <f t="shared" si="2"/>
        <v>6535.68</v>
      </c>
    </row>
    <row r="11" ht="14.25" customHeight="1">
      <c r="A11" s="6" t="s">
        <v>120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</row>
    <row r="12" ht="14.25" customHeight="1">
      <c r="A12" s="6" t="s">
        <v>121</v>
      </c>
      <c r="B12" s="27"/>
      <c r="C12" s="27">
        <f>2400</f>
        <v>2400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>
        <f t="shared" ref="X12:X13" si="11">((B12)+(C12))+(W12)</f>
        <v>2400</v>
      </c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>
        <f t="shared" ref="BC12:BC13" si="18">((((((((X12)+(AA12))+(AD12))+(AL12))+(AO12))+(AY12))+(AZ12))+(BA12))+(BB12)</f>
        <v>2400</v>
      </c>
    </row>
    <row r="13" ht="14.25" customHeight="1">
      <c r="A13" s="6" t="s">
        <v>122</v>
      </c>
      <c r="B13" s="28">
        <f t="shared" ref="B13:V13" si="10">(B11)+(B12)</f>
        <v>0</v>
      </c>
      <c r="C13" s="28">
        <f t="shared" si="10"/>
        <v>2400</v>
      </c>
      <c r="D13" s="28">
        <f t="shared" si="10"/>
        <v>0</v>
      </c>
      <c r="E13" s="28">
        <f t="shared" si="10"/>
        <v>0</v>
      </c>
      <c r="F13" s="28">
        <f t="shared" si="10"/>
        <v>0</v>
      </c>
      <c r="G13" s="28">
        <f t="shared" si="10"/>
        <v>0</v>
      </c>
      <c r="H13" s="28">
        <f t="shared" si="10"/>
        <v>0</v>
      </c>
      <c r="I13" s="28">
        <f t="shared" si="10"/>
        <v>0</v>
      </c>
      <c r="J13" s="28">
        <f t="shared" si="10"/>
        <v>0</v>
      </c>
      <c r="K13" s="28">
        <f t="shared" si="10"/>
        <v>0</v>
      </c>
      <c r="L13" s="28">
        <f t="shared" si="10"/>
        <v>0</v>
      </c>
      <c r="M13" s="28">
        <f t="shared" si="10"/>
        <v>0</v>
      </c>
      <c r="N13" s="28">
        <f t="shared" si="10"/>
        <v>0</v>
      </c>
      <c r="O13" s="28">
        <f t="shared" si="10"/>
        <v>0</v>
      </c>
      <c r="P13" s="28">
        <f t="shared" si="10"/>
        <v>0</v>
      </c>
      <c r="Q13" s="28">
        <f t="shared" si="10"/>
        <v>0</v>
      </c>
      <c r="R13" s="28">
        <f t="shared" si="10"/>
        <v>0</v>
      </c>
      <c r="S13" s="28">
        <f t="shared" si="10"/>
        <v>0</v>
      </c>
      <c r="T13" s="28">
        <f t="shared" si="10"/>
        <v>0</v>
      </c>
      <c r="U13" s="28">
        <f t="shared" si="10"/>
        <v>0</v>
      </c>
      <c r="V13" s="28">
        <f t="shared" si="10"/>
        <v>0</v>
      </c>
      <c r="W13" s="28">
        <f>((((((((((((((((((D13)+(E13))+(F13))+(G13))+(H13))+(I13))+(J13))+(K13))+(L13))+(M13))+(N13))+(O13))+(P13))+(Q13))+(R13))+(S13))+(T13))+(U13))+(V13)</f>
        <v>0</v>
      </c>
      <c r="X13" s="28">
        <f t="shared" si="11"/>
        <v>2400</v>
      </c>
      <c r="Y13" s="28">
        <f t="shared" ref="Y13:Z13" si="12">(Y11)+(Y12)</f>
        <v>0</v>
      </c>
      <c r="Z13" s="28">
        <f t="shared" si="12"/>
        <v>0</v>
      </c>
      <c r="AA13" s="28">
        <f>(Y13)+(Z13)</f>
        <v>0</v>
      </c>
      <c r="AB13" s="28">
        <f t="shared" ref="AB13:AC13" si="13">(AB11)+(AB12)</f>
        <v>0</v>
      </c>
      <c r="AC13" s="28">
        <f t="shared" si="13"/>
        <v>0</v>
      </c>
      <c r="AD13" s="28">
        <f>(AB13)+(AC13)</f>
        <v>0</v>
      </c>
      <c r="AE13" s="28">
        <f t="shared" ref="AE13:AK13" si="14">(AE11)+(AE12)</f>
        <v>0</v>
      </c>
      <c r="AF13" s="28">
        <f t="shared" si="14"/>
        <v>0</v>
      </c>
      <c r="AG13" s="28">
        <f t="shared" si="14"/>
        <v>0</v>
      </c>
      <c r="AH13" s="28">
        <f t="shared" si="14"/>
        <v>0</v>
      </c>
      <c r="AI13" s="28">
        <f t="shared" si="14"/>
        <v>0</v>
      </c>
      <c r="AJ13" s="28">
        <f t="shared" si="14"/>
        <v>0</v>
      </c>
      <c r="AK13" s="28">
        <f t="shared" si="14"/>
        <v>0</v>
      </c>
      <c r="AL13" s="28">
        <f>((((((AE13)+(AF13))+(AG13))+(AH13))+(AI13))+(AJ13))+(AK13)</f>
        <v>0</v>
      </c>
      <c r="AM13" s="28">
        <f t="shared" ref="AM13:AN13" si="15">(AM11)+(AM12)</f>
        <v>0</v>
      </c>
      <c r="AN13" s="28">
        <f t="shared" si="15"/>
        <v>0</v>
      </c>
      <c r="AO13" s="28">
        <f>(AM13)+(AN13)</f>
        <v>0</v>
      </c>
      <c r="AP13" s="28">
        <f t="shared" ref="AP13:AX13" si="16">(AP11)+(AP12)</f>
        <v>0</v>
      </c>
      <c r="AQ13" s="28">
        <f t="shared" si="16"/>
        <v>0</v>
      </c>
      <c r="AR13" s="28">
        <f t="shared" si="16"/>
        <v>0</v>
      </c>
      <c r="AS13" s="28">
        <f t="shared" si="16"/>
        <v>0</v>
      </c>
      <c r="AT13" s="28">
        <f t="shared" si="16"/>
        <v>0</v>
      </c>
      <c r="AU13" s="28">
        <f t="shared" si="16"/>
        <v>0</v>
      </c>
      <c r="AV13" s="28">
        <f t="shared" si="16"/>
        <v>0</v>
      </c>
      <c r="AW13" s="28">
        <f t="shared" si="16"/>
        <v>0</v>
      </c>
      <c r="AX13" s="28">
        <f t="shared" si="16"/>
        <v>0</v>
      </c>
      <c r="AY13" s="28">
        <f>((((((((AP13)+(AQ13))+(AR13))+(AS13))+(AT13))+(AU13))+(AV13))+(AW13))+(AX13)</f>
        <v>0</v>
      </c>
      <c r="AZ13" s="28">
        <f t="shared" ref="AZ13:BB13" si="17">(AZ11)+(AZ12)</f>
        <v>0</v>
      </c>
      <c r="BA13" s="28">
        <f t="shared" si="17"/>
        <v>0</v>
      </c>
      <c r="BB13" s="28">
        <f t="shared" si="17"/>
        <v>0</v>
      </c>
      <c r="BC13" s="28">
        <f t="shared" si="18"/>
        <v>2400</v>
      </c>
    </row>
    <row r="14" ht="14.25" customHeight="1">
      <c r="A14" s="6" t="s">
        <v>123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ht="14.25" customHeight="1">
      <c r="A15" s="6" t="s">
        <v>124</v>
      </c>
      <c r="B15" s="27"/>
      <c r="C15" s="27">
        <f>542.44</f>
        <v>542.44</v>
      </c>
      <c r="D15" s="27"/>
      <c r="E15" s="27">
        <f>438.95</f>
        <v>438.95</v>
      </c>
      <c r="F15" s="27">
        <f>565</f>
        <v>565</v>
      </c>
      <c r="G15" s="27">
        <f>130</f>
        <v>130</v>
      </c>
      <c r="H15" s="27">
        <f>890</f>
        <v>890</v>
      </c>
      <c r="I15" s="27">
        <f>2082.3</f>
        <v>2082.3</v>
      </c>
      <c r="J15" s="27"/>
      <c r="K15" s="27">
        <f>76</f>
        <v>76</v>
      </c>
      <c r="L15" s="27">
        <f>553</f>
        <v>553</v>
      </c>
      <c r="M15" s="27">
        <f>605.01</f>
        <v>605.01</v>
      </c>
      <c r="N15" s="27">
        <f>13962.31</f>
        <v>13962.31</v>
      </c>
      <c r="O15" s="27">
        <f>34</f>
        <v>34</v>
      </c>
      <c r="P15" s="27">
        <f>952.39</f>
        <v>952.39</v>
      </c>
      <c r="Q15" s="27"/>
      <c r="R15" s="27">
        <f>26</f>
        <v>26</v>
      </c>
      <c r="S15" s="27">
        <f>4</f>
        <v>4</v>
      </c>
      <c r="T15" s="27"/>
      <c r="U15" s="27">
        <f>1978.98</f>
        <v>1978.98</v>
      </c>
      <c r="V15" s="27">
        <f>310</f>
        <v>310</v>
      </c>
      <c r="W15" s="27">
        <f>((((((((((((((((((D15)+(E15))+(F15))+(G15))+(H15))+(I15))+(J15))+(K15))+(L15))+(M15))+(N15))+(O15))+(P15))+(Q15))+(R15))+(S15))+(T15))+(U15))+(V15)</f>
        <v>22607.94</v>
      </c>
      <c r="X15" s="27">
        <f t="shared" ref="X15:X24" si="19">((B15)+(C15))+(W15)</f>
        <v>23150.38</v>
      </c>
      <c r="Y15" s="27"/>
      <c r="Z15" s="27">
        <f>-0.35</f>
        <v>-0.35</v>
      </c>
      <c r="AA15" s="27">
        <f t="shared" ref="AA15:AA17" si="20">(Y15)+(Z15)</f>
        <v>-0.35</v>
      </c>
      <c r="AB15" s="27"/>
      <c r="AC15" s="27"/>
      <c r="AD15" s="27"/>
      <c r="AE15" s="27"/>
      <c r="AF15" s="27">
        <f>1200</f>
        <v>1200</v>
      </c>
      <c r="AG15" s="27"/>
      <c r="AH15" s="27"/>
      <c r="AI15" s="27"/>
      <c r="AJ15" s="27">
        <f>2.34</f>
        <v>2.34</v>
      </c>
      <c r="AK15" s="27">
        <f>20</f>
        <v>20</v>
      </c>
      <c r="AL15" s="27">
        <f>((((((AE15)+(AF15))+(AG15))+(AH15))+(AI15))+(AJ15))+(AK15)</f>
        <v>1222.34</v>
      </c>
      <c r="AM15" s="27"/>
      <c r="AN15" s="27">
        <f>147</f>
        <v>147</v>
      </c>
      <c r="AO15" s="27">
        <f>(AM15)+(AN15)</f>
        <v>147</v>
      </c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>
        <f>4870.52</f>
        <v>4870.52</v>
      </c>
      <c r="BC15" s="27">
        <f t="shared" ref="BC15:BC24" si="21">((((((((X15)+(AA15))+(AD15))+(AL15))+(AO15))+(AY15))+(AZ15))+(BA15))+(BB15)</f>
        <v>29389.89</v>
      </c>
    </row>
    <row r="16" ht="14.25" customHeight="1">
      <c r="A16" s="6" t="s">
        <v>125</v>
      </c>
      <c r="B16" s="27"/>
      <c r="C16" s="27">
        <f>674883.51</f>
        <v>674883.51</v>
      </c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>
        <f t="shared" si="19"/>
        <v>674883.51</v>
      </c>
      <c r="Y16" s="27"/>
      <c r="Z16" s="27">
        <f>3036.93</f>
        <v>3036.93</v>
      </c>
      <c r="AA16" s="27">
        <f t="shared" si="20"/>
        <v>3036.93</v>
      </c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>
        <f>27.64</f>
        <v>27.64</v>
      </c>
      <c r="BC16" s="27">
        <f t="shared" si="21"/>
        <v>677948.08</v>
      </c>
    </row>
    <row r="17" ht="14.25" customHeight="1">
      <c r="A17" s="6" t="s">
        <v>126</v>
      </c>
      <c r="B17" s="28">
        <f t="shared" ref="B17:V17" si="22">((B14)+(B15))+(B16)</f>
        <v>0</v>
      </c>
      <c r="C17" s="28">
        <f t="shared" si="22"/>
        <v>675425.95</v>
      </c>
      <c r="D17" s="28">
        <f t="shared" si="22"/>
        <v>0</v>
      </c>
      <c r="E17" s="28">
        <f t="shared" si="22"/>
        <v>438.95</v>
      </c>
      <c r="F17" s="28">
        <f t="shared" si="22"/>
        <v>565</v>
      </c>
      <c r="G17" s="28">
        <f t="shared" si="22"/>
        <v>130</v>
      </c>
      <c r="H17" s="28">
        <f t="shared" si="22"/>
        <v>890</v>
      </c>
      <c r="I17" s="28">
        <f t="shared" si="22"/>
        <v>2082.3</v>
      </c>
      <c r="J17" s="28">
        <f t="shared" si="22"/>
        <v>0</v>
      </c>
      <c r="K17" s="28">
        <f t="shared" si="22"/>
        <v>76</v>
      </c>
      <c r="L17" s="28">
        <f t="shared" si="22"/>
        <v>553</v>
      </c>
      <c r="M17" s="28">
        <f t="shared" si="22"/>
        <v>605.01</v>
      </c>
      <c r="N17" s="28">
        <f t="shared" si="22"/>
        <v>13962.31</v>
      </c>
      <c r="O17" s="28">
        <f t="shared" si="22"/>
        <v>34</v>
      </c>
      <c r="P17" s="28">
        <f t="shared" si="22"/>
        <v>952.39</v>
      </c>
      <c r="Q17" s="28">
        <f t="shared" si="22"/>
        <v>0</v>
      </c>
      <c r="R17" s="28">
        <f t="shared" si="22"/>
        <v>26</v>
      </c>
      <c r="S17" s="28">
        <f t="shared" si="22"/>
        <v>4</v>
      </c>
      <c r="T17" s="28">
        <f t="shared" si="22"/>
        <v>0</v>
      </c>
      <c r="U17" s="28">
        <f t="shared" si="22"/>
        <v>1978.98</v>
      </c>
      <c r="V17" s="28">
        <f t="shared" si="22"/>
        <v>310</v>
      </c>
      <c r="W17" s="28">
        <f t="shared" ref="W17:W24" si="29">((((((((((((((((((D17)+(E17))+(F17))+(G17))+(H17))+(I17))+(J17))+(K17))+(L17))+(M17))+(N17))+(O17))+(P17))+(Q17))+(R17))+(S17))+(T17))+(U17))+(V17)</f>
        <v>22607.94</v>
      </c>
      <c r="X17" s="28">
        <f t="shared" si="19"/>
        <v>698033.89</v>
      </c>
      <c r="Y17" s="28">
        <f t="shared" ref="Y17:Z17" si="23">((Y14)+(Y15))+(Y16)</f>
        <v>0</v>
      </c>
      <c r="Z17" s="28">
        <f t="shared" si="23"/>
        <v>3036.58</v>
      </c>
      <c r="AA17" s="28">
        <f t="shared" si="20"/>
        <v>3036.58</v>
      </c>
      <c r="AB17" s="28">
        <f t="shared" ref="AB17:AC17" si="24">((AB14)+(AB15))+(AB16)</f>
        <v>0</v>
      </c>
      <c r="AC17" s="28">
        <f t="shared" si="24"/>
        <v>0</v>
      </c>
      <c r="AD17" s="28">
        <f>(AB17)+(AC17)</f>
        <v>0</v>
      </c>
      <c r="AE17" s="28">
        <f t="shared" ref="AE17:AK17" si="25">((AE14)+(AE15))+(AE16)</f>
        <v>0</v>
      </c>
      <c r="AF17" s="28">
        <f t="shared" si="25"/>
        <v>1200</v>
      </c>
      <c r="AG17" s="28">
        <f t="shared" si="25"/>
        <v>0</v>
      </c>
      <c r="AH17" s="28">
        <f t="shared" si="25"/>
        <v>0</v>
      </c>
      <c r="AI17" s="28">
        <f t="shared" si="25"/>
        <v>0</v>
      </c>
      <c r="AJ17" s="28">
        <f t="shared" si="25"/>
        <v>2.34</v>
      </c>
      <c r="AK17" s="28">
        <f t="shared" si="25"/>
        <v>20</v>
      </c>
      <c r="AL17" s="28">
        <f>((((((AE17)+(AF17))+(AG17))+(AH17))+(AI17))+(AJ17))+(AK17)</f>
        <v>1222.34</v>
      </c>
      <c r="AM17" s="28">
        <f t="shared" ref="AM17:AN17" si="26">((AM14)+(AM15))+(AM16)</f>
        <v>0</v>
      </c>
      <c r="AN17" s="28">
        <f t="shared" si="26"/>
        <v>147</v>
      </c>
      <c r="AO17" s="28">
        <f>(AM17)+(AN17)</f>
        <v>147</v>
      </c>
      <c r="AP17" s="28">
        <f t="shared" ref="AP17:AX17" si="27">((AP14)+(AP15))+(AP16)</f>
        <v>0</v>
      </c>
      <c r="AQ17" s="28">
        <f t="shared" si="27"/>
        <v>0</v>
      </c>
      <c r="AR17" s="28">
        <f t="shared" si="27"/>
        <v>0</v>
      </c>
      <c r="AS17" s="28">
        <f t="shared" si="27"/>
        <v>0</v>
      </c>
      <c r="AT17" s="28">
        <f t="shared" si="27"/>
        <v>0</v>
      </c>
      <c r="AU17" s="28">
        <f t="shared" si="27"/>
        <v>0</v>
      </c>
      <c r="AV17" s="28">
        <f t="shared" si="27"/>
        <v>0</v>
      </c>
      <c r="AW17" s="28">
        <f t="shared" si="27"/>
        <v>0</v>
      </c>
      <c r="AX17" s="28">
        <f t="shared" si="27"/>
        <v>0</v>
      </c>
      <c r="AY17" s="28">
        <f>((((((((AP17)+(AQ17))+(AR17))+(AS17))+(AT17))+(AU17))+(AV17))+(AW17))+(AX17)</f>
        <v>0</v>
      </c>
      <c r="AZ17" s="28">
        <f t="shared" ref="AZ17:BB17" si="28">((AZ14)+(AZ15))+(AZ16)</f>
        <v>0</v>
      </c>
      <c r="BA17" s="28">
        <f t="shared" si="28"/>
        <v>0</v>
      </c>
      <c r="BB17" s="28">
        <f t="shared" si="28"/>
        <v>4898.16</v>
      </c>
      <c r="BC17" s="28">
        <f t="shared" si="21"/>
        <v>707337.97</v>
      </c>
    </row>
    <row r="18" ht="14.25" customHeight="1">
      <c r="A18" s="6" t="s">
        <v>127</v>
      </c>
      <c r="B18" s="27"/>
      <c r="C18" s="27"/>
      <c r="D18" s="27"/>
      <c r="E18" s="27">
        <f>6</f>
        <v>6</v>
      </c>
      <c r="F18" s="27"/>
      <c r="G18" s="27"/>
      <c r="H18" s="27">
        <f>148</f>
        <v>148</v>
      </c>
      <c r="I18" s="27"/>
      <c r="J18" s="27"/>
      <c r="K18" s="27">
        <f>24</f>
        <v>24</v>
      </c>
      <c r="L18" s="27">
        <f>444</f>
        <v>444</v>
      </c>
      <c r="M18" s="27"/>
      <c r="N18" s="27"/>
      <c r="O18" s="27"/>
      <c r="P18" s="27"/>
      <c r="Q18" s="27"/>
      <c r="R18" s="27"/>
      <c r="S18" s="27"/>
      <c r="T18" s="27"/>
      <c r="U18" s="27"/>
      <c r="V18" s="27">
        <f>85</f>
        <v>85</v>
      </c>
      <c r="W18" s="27">
        <f t="shared" si="29"/>
        <v>707</v>
      </c>
      <c r="X18" s="27">
        <f t="shared" si="19"/>
        <v>707</v>
      </c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>
        <f t="shared" si="21"/>
        <v>707</v>
      </c>
    </row>
    <row r="19" ht="14.25" customHeight="1">
      <c r="A19" s="6" t="s">
        <v>128</v>
      </c>
      <c r="B19" s="27"/>
      <c r="C19" s="27"/>
      <c r="D19" s="27"/>
      <c r="E19" s="27">
        <f>14</f>
        <v>14</v>
      </c>
      <c r="F19" s="27"/>
      <c r="G19" s="27"/>
      <c r="H19" s="27">
        <f>279</f>
        <v>279</v>
      </c>
      <c r="I19" s="27">
        <f>40</f>
        <v>40</v>
      </c>
      <c r="J19" s="27"/>
      <c r="K19" s="27"/>
      <c r="L19" s="27">
        <f>200</f>
        <v>200</v>
      </c>
      <c r="M19" s="27"/>
      <c r="N19" s="27">
        <f>16</f>
        <v>16</v>
      </c>
      <c r="O19" s="27"/>
      <c r="P19" s="27"/>
      <c r="Q19" s="27"/>
      <c r="R19" s="27"/>
      <c r="S19" s="27"/>
      <c r="T19" s="27"/>
      <c r="U19" s="27">
        <f>8</f>
        <v>8</v>
      </c>
      <c r="V19" s="27"/>
      <c r="W19" s="27">
        <f t="shared" si="29"/>
        <v>557</v>
      </c>
      <c r="X19" s="27">
        <f t="shared" si="19"/>
        <v>557</v>
      </c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>
        <f>157.53</f>
        <v>157.53</v>
      </c>
      <c r="AL19" s="27">
        <f>((((((AE19)+(AF19))+(AG19))+(AH19))+(AI19))+(AJ19))+(AK19)</f>
        <v>157.53</v>
      </c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>
        <f t="shared" si="21"/>
        <v>714.53</v>
      </c>
    </row>
    <row r="20" ht="14.25" customHeight="1">
      <c r="A20" s="6" t="s">
        <v>129</v>
      </c>
      <c r="B20" s="27"/>
      <c r="C20" s="27">
        <f>1182.88</f>
        <v>1182.88</v>
      </c>
      <c r="D20" s="27"/>
      <c r="E20" s="27"/>
      <c r="F20" s="27"/>
      <c r="G20" s="27"/>
      <c r="H20" s="27"/>
      <c r="I20" s="27"/>
      <c r="J20" s="27"/>
      <c r="K20" s="27"/>
      <c r="L20" s="27">
        <f>162.03</f>
        <v>162.03</v>
      </c>
      <c r="M20" s="27"/>
      <c r="N20" s="27"/>
      <c r="O20" s="27"/>
      <c r="P20" s="27"/>
      <c r="Q20" s="27"/>
      <c r="R20" s="27"/>
      <c r="S20" s="27"/>
      <c r="T20" s="27"/>
      <c r="U20" s="27">
        <f>18</f>
        <v>18</v>
      </c>
      <c r="V20" s="27"/>
      <c r="W20" s="27">
        <f t="shared" si="29"/>
        <v>180.03</v>
      </c>
      <c r="X20" s="27">
        <f t="shared" si="19"/>
        <v>1362.91</v>
      </c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>
        <f t="shared" si="21"/>
        <v>1362.91</v>
      </c>
    </row>
    <row r="21" ht="14.25" customHeight="1">
      <c r="A21" s="6" t="s">
        <v>130</v>
      </c>
      <c r="B21" s="28">
        <f t="shared" ref="B21:V21" si="30">((B18)+(B19))+(B20)</f>
        <v>0</v>
      </c>
      <c r="C21" s="28">
        <f t="shared" si="30"/>
        <v>1182.88</v>
      </c>
      <c r="D21" s="28">
        <f t="shared" si="30"/>
        <v>0</v>
      </c>
      <c r="E21" s="28">
        <f t="shared" si="30"/>
        <v>20</v>
      </c>
      <c r="F21" s="28">
        <f t="shared" si="30"/>
        <v>0</v>
      </c>
      <c r="G21" s="28">
        <f t="shared" si="30"/>
        <v>0</v>
      </c>
      <c r="H21" s="28">
        <f t="shared" si="30"/>
        <v>427</v>
      </c>
      <c r="I21" s="28">
        <f t="shared" si="30"/>
        <v>40</v>
      </c>
      <c r="J21" s="28">
        <f t="shared" si="30"/>
        <v>0</v>
      </c>
      <c r="K21" s="28">
        <f t="shared" si="30"/>
        <v>24</v>
      </c>
      <c r="L21" s="28">
        <f t="shared" si="30"/>
        <v>806.03</v>
      </c>
      <c r="M21" s="28">
        <f t="shared" si="30"/>
        <v>0</v>
      </c>
      <c r="N21" s="28">
        <f t="shared" si="30"/>
        <v>16</v>
      </c>
      <c r="O21" s="28">
        <f t="shared" si="30"/>
        <v>0</v>
      </c>
      <c r="P21" s="28">
        <f t="shared" si="30"/>
        <v>0</v>
      </c>
      <c r="Q21" s="28">
        <f t="shared" si="30"/>
        <v>0</v>
      </c>
      <c r="R21" s="28">
        <f t="shared" si="30"/>
        <v>0</v>
      </c>
      <c r="S21" s="28">
        <f t="shared" si="30"/>
        <v>0</v>
      </c>
      <c r="T21" s="28">
        <f t="shared" si="30"/>
        <v>0</v>
      </c>
      <c r="U21" s="28">
        <f t="shared" si="30"/>
        <v>26</v>
      </c>
      <c r="V21" s="28">
        <f t="shared" si="30"/>
        <v>85</v>
      </c>
      <c r="W21" s="28">
        <f t="shared" si="29"/>
        <v>1444.03</v>
      </c>
      <c r="X21" s="28">
        <f t="shared" si="19"/>
        <v>2626.91</v>
      </c>
      <c r="Y21" s="28">
        <f t="shared" ref="Y21:Z21" si="31">((Y18)+(Y19))+(Y20)</f>
        <v>0</v>
      </c>
      <c r="Z21" s="28">
        <f t="shared" si="31"/>
        <v>0</v>
      </c>
      <c r="AA21" s="28">
        <f>(Y21)+(Z21)</f>
        <v>0</v>
      </c>
      <c r="AB21" s="28">
        <f t="shared" ref="AB21:AC21" si="32">((AB18)+(AB19))+(AB20)</f>
        <v>0</v>
      </c>
      <c r="AC21" s="28">
        <f t="shared" si="32"/>
        <v>0</v>
      </c>
      <c r="AD21" s="28">
        <f>(AB21)+(AC21)</f>
        <v>0</v>
      </c>
      <c r="AE21" s="28">
        <f t="shared" ref="AE21:AK21" si="33">((AE18)+(AE19))+(AE20)</f>
        <v>0</v>
      </c>
      <c r="AF21" s="28">
        <f t="shared" si="33"/>
        <v>0</v>
      </c>
      <c r="AG21" s="28">
        <f t="shared" si="33"/>
        <v>0</v>
      </c>
      <c r="AH21" s="28">
        <f t="shared" si="33"/>
        <v>0</v>
      </c>
      <c r="AI21" s="28">
        <f t="shared" si="33"/>
        <v>0</v>
      </c>
      <c r="AJ21" s="28">
        <f t="shared" si="33"/>
        <v>0</v>
      </c>
      <c r="AK21" s="28">
        <f t="shared" si="33"/>
        <v>157.53</v>
      </c>
      <c r="AL21" s="28">
        <f>((((((AE21)+(AF21))+(AG21))+(AH21))+(AI21))+(AJ21))+(AK21)</f>
        <v>157.53</v>
      </c>
      <c r="AM21" s="28">
        <f t="shared" ref="AM21:AN21" si="34">((AM18)+(AM19))+(AM20)</f>
        <v>0</v>
      </c>
      <c r="AN21" s="28">
        <f t="shared" si="34"/>
        <v>0</v>
      </c>
      <c r="AO21" s="28">
        <f>(AM21)+(AN21)</f>
        <v>0</v>
      </c>
      <c r="AP21" s="28">
        <f t="shared" ref="AP21:AX21" si="35">((AP18)+(AP19))+(AP20)</f>
        <v>0</v>
      </c>
      <c r="AQ21" s="28">
        <f t="shared" si="35"/>
        <v>0</v>
      </c>
      <c r="AR21" s="28">
        <f t="shared" si="35"/>
        <v>0</v>
      </c>
      <c r="AS21" s="28">
        <f t="shared" si="35"/>
        <v>0</v>
      </c>
      <c r="AT21" s="28">
        <f t="shared" si="35"/>
        <v>0</v>
      </c>
      <c r="AU21" s="28">
        <f t="shared" si="35"/>
        <v>0</v>
      </c>
      <c r="AV21" s="28">
        <f t="shared" si="35"/>
        <v>0</v>
      </c>
      <c r="AW21" s="28">
        <f t="shared" si="35"/>
        <v>0</v>
      </c>
      <c r="AX21" s="28">
        <f t="shared" si="35"/>
        <v>0</v>
      </c>
      <c r="AY21" s="28">
        <f>((((((((AP21)+(AQ21))+(AR21))+(AS21))+(AT21))+(AU21))+(AV21))+(AW21))+(AX21)</f>
        <v>0</v>
      </c>
      <c r="AZ21" s="28">
        <f t="shared" ref="AZ21:BB21" si="36">((AZ18)+(AZ19))+(AZ20)</f>
        <v>0</v>
      </c>
      <c r="BA21" s="28">
        <f t="shared" si="36"/>
        <v>0</v>
      </c>
      <c r="BB21" s="28">
        <f t="shared" si="36"/>
        <v>0</v>
      </c>
      <c r="BC21" s="28">
        <f t="shared" si="21"/>
        <v>2784.44</v>
      </c>
    </row>
    <row r="22" ht="14.25" customHeight="1">
      <c r="A22" s="6" t="s">
        <v>131</v>
      </c>
      <c r="B22" s="27"/>
      <c r="C22" s="27">
        <f>250.81</f>
        <v>250.81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>
        <f>5000</f>
        <v>5000</v>
      </c>
      <c r="R22" s="27"/>
      <c r="S22" s="27"/>
      <c r="T22" s="27"/>
      <c r="U22" s="27"/>
      <c r="V22" s="27"/>
      <c r="W22" s="27">
        <f t="shared" si="29"/>
        <v>5000</v>
      </c>
      <c r="X22" s="27">
        <f t="shared" si="19"/>
        <v>5250.81</v>
      </c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>
        <f t="shared" si="21"/>
        <v>5250.81</v>
      </c>
    </row>
    <row r="23" ht="14.25" customHeight="1">
      <c r="A23" s="6" t="s">
        <v>63</v>
      </c>
      <c r="B23" s="33">
        <f t="shared" ref="B23:V23" si="37">((((B10)+(B13))+(B17))+(B21))+(B22)</f>
        <v>0</v>
      </c>
      <c r="C23" s="33">
        <f t="shared" si="37"/>
        <v>683858.07</v>
      </c>
      <c r="D23" s="33">
        <f t="shared" si="37"/>
        <v>0</v>
      </c>
      <c r="E23" s="33">
        <f t="shared" si="37"/>
        <v>458.95</v>
      </c>
      <c r="F23" s="33">
        <f t="shared" si="37"/>
        <v>570</v>
      </c>
      <c r="G23" s="33">
        <f t="shared" si="37"/>
        <v>130</v>
      </c>
      <c r="H23" s="33">
        <f t="shared" si="37"/>
        <v>1317</v>
      </c>
      <c r="I23" s="33">
        <f t="shared" si="37"/>
        <v>2133.3</v>
      </c>
      <c r="J23" s="33">
        <f t="shared" si="37"/>
        <v>0</v>
      </c>
      <c r="K23" s="33">
        <f t="shared" si="37"/>
        <v>108</v>
      </c>
      <c r="L23" s="33">
        <f t="shared" si="37"/>
        <v>1359.03</v>
      </c>
      <c r="M23" s="33">
        <f t="shared" si="37"/>
        <v>653.01</v>
      </c>
      <c r="N23" s="33">
        <f t="shared" si="37"/>
        <v>14053.31</v>
      </c>
      <c r="O23" s="33">
        <f t="shared" si="37"/>
        <v>331</v>
      </c>
      <c r="P23" s="33">
        <f t="shared" si="37"/>
        <v>957.39</v>
      </c>
      <c r="Q23" s="33">
        <f t="shared" si="37"/>
        <v>5000</v>
      </c>
      <c r="R23" s="33">
        <f t="shared" si="37"/>
        <v>26</v>
      </c>
      <c r="S23" s="33">
        <f t="shared" si="37"/>
        <v>4</v>
      </c>
      <c r="T23" s="33">
        <f t="shared" si="37"/>
        <v>145</v>
      </c>
      <c r="U23" s="33">
        <f t="shared" si="37"/>
        <v>2116.98</v>
      </c>
      <c r="V23" s="33">
        <f t="shared" si="37"/>
        <v>1626.25</v>
      </c>
      <c r="W23" s="33">
        <f t="shared" si="29"/>
        <v>30989.22</v>
      </c>
      <c r="X23" s="33">
        <f t="shared" si="19"/>
        <v>714847.29</v>
      </c>
      <c r="Y23" s="33">
        <f t="shared" ref="Y23:Z23" si="38">((((Y10)+(Y13))+(Y17))+(Y21))+(Y22)</f>
        <v>0</v>
      </c>
      <c r="Z23" s="33">
        <f t="shared" si="38"/>
        <v>3036.58</v>
      </c>
      <c r="AA23" s="33">
        <f t="shared" ref="AA23:AA24" si="46">(Y23)+(Z23)</f>
        <v>3036.58</v>
      </c>
      <c r="AB23" s="33">
        <f t="shared" ref="AB23:AC23" si="39">((((AB10)+(AB13))+(AB17))+(AB21))+(AB22)</f>
        <v>0</v>
      </c>
      <c r="AC23" s="33">
        <f t="shared" si="39"/>
        <v>0</v>
      </c>
      <c r="AD23" s="33">
        <f t="shared" ref="AD23:AD24" si="48">(AB23)+(AC23)</f>
        <v>0</v>
      </c>
      <c r="AE23" s="33">
        <f t="shared" ref="AE23:AK23" si="40">((((AE10)+(AE13))+(AE17))+(AE21))+(AE22)</f>
        <v>0</v>
      </c>
      <c r="AF23" s="33">
        <f t="shared" si="40"/>
        <v>1200</v>
      </c>
      <c r="AG23" s="33">
        <f t="shared" si="40"/>
        <v>0</v>
      </c>
      <c r="AH23" s="33">
        <f t="shared" si="40"/>
        <v>0</v>
      </c>
      <c r="AI23" s="33">
        <f t="shared" si="40"/>
        <v>0</v>
      </c>
      <c r="AJ23" s="33">
        <f t="shared" si="40"/>
        <v>2.34</v>
      </c>
      <c r="AK23" s="33">
        <f t="shared" si="40"/>
        <v>177.53</v>
      </c>
      <c r="AL23" s="33">
        <f t="shared" ref="AL23:AL24" si="50">((((((AE23)+(AF23))+(AG23))+(AH23))+(AI23))+(AJ23))+(AK23)</f>
        <v>1379.87</v>
      </c>
      <c r="AM23" s="33">
        <f t="shared" ref="AM23:AN23" si="41">((((AM10)+(AM13))+(AM17))+(AM21))+(AM22)</f>
        <v>0</v>
      </c>
      <c r="AN23" s="33">
        <f t="shared" si="41"/>
        <v>147</v>
      </c>
      <c r="AO23" s="33">
        <f t="shared" ref="AO23:AO24" si="52">(AM23)+(AN23)</f>
        <v>147</v>
      </c>
      <c r="AP23" s="33">
        <f t="shared" ref="AP23:AX23" si="42">((((AP10)+(AP13))+(AP17))+(AP21))+(AP22)</f>
        <v>0</v>
      </c>
      <c r="AQ23" s="33">
        <f t="shared" si="42"/>
        <v>0</v>
      </c>
      <c r="AR23" s="33">
        <f t="shared" si="42"/>
        <v>0</v>
      </c>
      <c r="AS23" s="33">
        <f t="shared" si="42"/>
        <v>0</v>
      </c>
      <c r="AT23" s="33">
        <f t="shared" si="42"/>
        <v>0</v>
      </c>
      <c r="AU23" s="33">
        <f t="shared" si="42"/>
        <v>0</v>
      </c>
      <c r="AV23" s="33">
        <f t="shared" si="42"/>
        <v>0</v>
      </c>
      <c r="AW23" s="33">
        <f t="shared" si="42"/>
        <v>0</v>
      </c>
      <c r="AX23" s="33">
        <f t="shared" si="42"/>
        <v>0</v>
      </c>
      <c r="AY23" s="33">
        <f t="shared" ref="AY23:AY24" si="54">((((((((AP23)+(AQ23))+(AR23))+(AS23))+(AT23))+(AU23))+(AV23))+(AW23))+(AX23)</f>
        <v>0</v>
      </c>
      <c r="AZ23" s="33">
        <f t="shared" ref="AZ23:BB23" si="43">((((AZ10)+(AZ13))+(AZ17))+(AZ21))+(AZ22)</f>
        <v>0</v>
      </c>
      <c r="BA23" s="33">
        <f t="shared" si="43"/>
        <v>0</v>
      </c>
      <c r="BB23" s="33">
        <f t="shared" si="43"/>
        <v>4898.16</v>
      </c>
      <c r="BC23" s="33">
        <f t="shared" si="21"/>
        <v>724308.9</v>
      </c>
    </row>
    <row r="24" ht="14.25" hidden="1" customHeight="1">
      <c r="A24" s="6" t="s">
        <v>132</v>
      </c>
      <c r="B24" s="28">
        <f t="shared" ref="B24:V24" si="44">(B23)-(0)</f>
        <v>0</v>
      </c>
      <c r="C24" s="28">
        <f t="shared" si="44"/>
        <v>683858.07</v>
      </c>
      <c r="D24" s="28">
        <f t="shared" si="44"/>
        <v>0</v>
      </c>
      <c r="E24" s="28">
        <f t="shared" si="44"/>
        <v>458.95</v>
      </c>
      <c r="F24" s="28">
        <f t="shared" si="44"/>
        <v>570</v>
      </c>
      <c r="G24" s="28">
        <f t="shared" si="44"/>
        <v>130</v>
      </c>
      <c r="H24" s="28">
        <f t="shared" si="44"/>
        <v>1317</v>
      </c>
      <c r="I24" s="28">
        <f t="shared" si="44"/>
        <v>2133.3</v>
      </c>
      <c r="J24" s="28">
        <f t="shared" si="44"/>
        <v>0</v>
      </c>
      <c r="K24" s="28">
        <f t="shared" si="44"/>
        <v>108</v>
      </c>
      <c r="L24" s="28">
        <f t="shared" si="44"/>
        <v>1359.03</v>
      </c>
      <c r="M24" s="28">
        <f t="shared" si="44"/>
        <v>653.01</v>
      </c>
      <c r="N24" s="28">
        <f t="shared" si="44"/>
        <v>14053.31</v>
      </c>
      <c r="O24" s="28">
        <f t="shared" si="44"/>
        <v>331</v>
      </c>
      <c r="P24" s="28">
        <f t="shared" si="44"/>
        <v>957.39</v>
      </c>
      <c r="Q24" s="28">
        <f t="shared" si="44"/>
        <v>5000</v>
      </c>
      <c r="R24" s="28">
        <f t="shared" si="44"/>
        <v>26</v>
      </c>
      <c r="S24" s="28">
        <f t="shared" si="44"/>
        <v>4</v>
      </c>
      <c r="T24" s="28">
        <f t="shared" si="44"/>
        <v>145</v>
      </c>
      <c r="U24" s="28">
        <f t="shared" si="44"/>
        <v>2116.98</v>
      </c>
      <c r="V24" s="28">
        <f t="shared" si="44"/>
        <v>1626.25</v>
      </c>
      <c r="W24" s="28">
        <f t="shared" si="29"/>
        <v>30989.22</v>
      </c>
      <c r="X24" s="28">
        <f t="shared" si="19"/>
        <v>714847.29</v>
      </c>
      <c r="Y24" s="28">
        <f t="shared" ref="Y24:Z24" si="45">(Y23)-(0)</f>
        <v>0</v>
      </c>
      <c r="Z24" s="28">
        <f t="shared" si="45"/>
        <v>3036.58</v>
      </c>
      <c r="AA24" s="28">
        <f t="shared" si="46"/>
        <v>3036.58</v>
      </c>
      <c r="AB24" s="28">
        <f t="shared" ref="AB24:AC24" si="47">(AB23)-(0)</f>
        <v>0</v>
      </c>
      <c r="AC24" s="28">
        <f t="shared" si="47"/>
        <v>0</v>
      </c>
      <c r="AD24" s="28">
        <f t="shared" si="48"/>
        <v>0</v>
      </c>
      <c r="AE24" s="28">
        <f t="shared" ref="AE24:AK24" si="49">(AE23)-(0)</f>
        <v>0</v>
      </c>
      <c r="AF24" s="28">
        <f t="shared" si="49"/>
        <v>1200</v>
      </c>
      <c r="AG24" s="28">
        <f t="shared" si="49"/>
        <v>0</v>
      </c>
      <c r="AH24" s="28">
        <f t="shared" si="49"/>
        <v>0</v>
      </c>
      <c r="AI24" s="28">
        <f t="shared" si="49"/>
        <v>0</v>
      </c>
      <c r="AJ24" s="28">
        <f t="shared" si="49"/>
        <v>2.34</v>
      </c>
      <c r="AK24" s="28">
        <f t="shared" si="49"/>
        <v>177.53</v>
      </c>
      <c r="AL24" s="28">
        <f t="shared" si="50"/>
        <v>1379.87</v>
      </c>
      <c r="AM24" s="28">
        <f t="shared" ref="AM24:AN24" si="51">(AM23)-(0)</f>
        <v>0</v>
      </c>
      <c r="AN24" s="28">
        <f t="shared" si="51"/>
        <v>147</v>
      </c>
      <c r="AO24" s="28">
        <f t="shared" si="52"/>
        <v>147</v>
      </c>
      <c r="AP24" s="28">
        <f t="shared" ref="AP24:AX24" si="53">(AP23)-(0)</f>
        <v>0</v>
      </c>
      <c r="AQ24" s="28">
        <f t="shared" si="53"/>
        <v>0</v>
      </c>
      <c r="AR24" s="28">
        <f t="shared" si="53"/>
        <v>0</v>
      </c>
      <c r="AS24" s="28">
        <f t="shared" si="53"/>
        <v>0</v>
      </c>
      <c r="AT24" s="28">
        <f t="shared" si="53"/>
        <v>0</v>
      </c>
      <c r="AU24" s="28">
        <f t="shared" si="53"/>
        <v>0</v>
      </c>
      <c r="AV24" s="28">
        <f t="shared" si="53"/>
        <v>0</v>
      </c>
      <c r="AW24" s="28">
        <f t="shared" si="53"/>
        <v>0</v>
      </c>
      <c r="AX24" s="28">
        <f t="shared" si="53"/>
        <v>0</v>
      </c>
      <c r="AY24" s="28">
        <f t="shared" si="54"/>
        <v>0</v>
      </c>
      <c r="AZ24" s="28">
        <f t="shared" ref="AZ24:BB24" si="55">(AZ23)-(0)</f>
        <v>0</v>
      </c>
      <c r="BA24" s="28">
        <f t="shared" si="55"/>
        <v>0</v>
      </c>
      <c r="BB24" s="28">
        <f t="shared" si="55"/>
        <v>4898.16</v>
      </c>
      <c r="BC24" s="28">
        <f t="shared" si="21"/>
        <v>724308.9</v>
      </c>
    </row>
    <row r="25" ht="14.25" customHeight="1">
      <c r="A25" s="6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</row>
    <row r="26" ht="14.25" customHeight="1">
      <c r="A26" s="6" t="s">
        <v>64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</row>
    <row r="27" ht="14.25" customHeight="1">
      <c r="A27" s="6" t="s">
        <v>133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</row>
    <row r="28" ht="14.25" customHeight="1">
      <c r="A28" s="6" t="s">
        <v>134</v>
      </c>
      <c r="B28" s="27"/>
      <c r="C28" s="27">
        <f>4750</f>
        <v>4750</v>
      </c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>
        <f>((B28)+(C28))+(W28)</f>
        <v>4750</v>
      </c>
      <c r="Y28" s="27"/>
      <c r="Z28" s="27"/>
      <c r="AA28" s="27"/>
      <c r="AB28" s="27"/>
      <c r="AC28" s="27"/>
      <c r="AD28" s="27"/>
      <c r="AE28" s="27"/>
      <c r="AF28" s="27"/>
      <c r="AG28" s="27"/>
      <c r="AH28" s="27">
        <f>16975</f>
        <v>16975</v>
      </c>
      <c r="AI28" s="27">
        <f>639.46</f>
        <v>639.46</v>
      </c>
      <c r="AJ28" s="27"/>
      <c r="AK28" s="27"/>
      <c r="AL28" s="27">
        <f>((((((AE28)+(AF28))+(AG28))+(AH28))+(AI28))+(AJ28))+(AK28)</f>
        <v>17614.46</v>
      </c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>
        <f>122.75</f>
        <v>122.75</v>
      </c>
      <c r="BA28" s="27"/>
      <c r="BB28" s="27"/>
      <c r="BC28" s="27">
        <f t="shared" ref="BC28:BC34" si="56">((((((((X28)+(AA28))+(AD28))+(AL28))+(AO28))+(AY28))+(AZ28))+(BA28))+(BB28)</f>
        <v>22487.21</v>
      </c>
    </row>
    <row r="29" ht="14.25" customHeight="1">
      <c r="A29" s="6" t="s">
        <v>135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>
        <f>19701.52</f>
        <v>19701.52</v>
      </c>
      <c r="AA29" s="27">
        <f>(Y29)+(Z29)</f>
        <v>19701.52</v>
      </c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>
        <f t="shared" si="56"/>
        <v>19701.52</v>
      </c>
    </row>
    <row r="30" ht="14.25" customHeight="1">
      <c r="A30" s="6" t="s">
        <v>136</v>
      </c>
      <c r="B30" s="27"/>
      <c r="C30" s="27">
        <f>19650</f>
        <v>19650</v>
      </c>
      <c r="D30" s="27"/>
      <c r="E30" s="27">
        <f>50</f>
        <v>50</v>
      </c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>
        <f>50</f>
        <v>50</v>
      </c>
      <c r="S30" s="27"/>
      <c r="T30" s="27"/>
      <c r="U30" s="27"/>
      <c r="V30" s="27"/>
      <c r="W30" s="27">
        <f>((((((((((((((((((D30)+(E30))+(F30))+(G30))+(H30))+(I30))+(J30))+(K30))+(L30))+(M30))+(N30))+(O30))+(P30))+(Q30))+(R30))+(S30))+(T30))+(U30))+(V30)</f>
        <v>100</v>
      </c>
      <c r="X30" s="27">
        <f>((B30)+(C30))+(W30)</f>
        <v>19750</v>
      </c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>
        <f t="shared" si="56"/>
        <v>19750</v>
      </c>
    </row>
    <row r="31" ht="14.25" customHeight="1">
      <c r="A31" s="6" t="s">
        <v>137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>
        <f>13200</f>
        <v>13200</v>
      </c>
      <c r="AA31" s="27">
        <f t="shared" ref="AA31:AA32" si="57">(Y31)+(Z31)</f>
        <v>13200</v>
      </c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>
        <f t="shared" si="56"/>
        <v>13200</v>
      </c>
    </row>
    <row r="32" ht="14.25" customHeight="1">
      <c r="A32" s="6" t="s">
        <v>138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>
        <f>120.17</f>
        <v>120.17</v>
      </c>
      <c r="AA32" s="27">
        <f t="shared" si="57"/>
        <v>120.17</v>
      </c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>
        <f t="shared" si="56"/>
        <v>120.17</v>
      </c>
    </row>
    <row r="33" ht="14.25" customHeight="1">
      <c r="A33" s="6" t="s">
        <v>139</v>
      </c>
      <c r="B33" s="27"/>
      <c r="C33" s="27">
        <f>11918.01</f>
        <v>11918.01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>
        <f t="shared" ref="X33:X34" si="59">((B33)+(C33))+(W33)</f>
        <v>11918.01</v>
      </c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>
        <f>9850.76</f>
        <v>9850.76</v>
      </c>
      <c r="AT33" s="27"/>
      <c r="AU33" s="27"/>
      <c r="AV33" s="27"/>
      <c r="AW33" s="27">
        <f>2556.95</f>
        <v>2556.95</v>
      </c>
      <c r="AX33" s="27"/>
      <c r="AY33" s="27">
        <f t="shared" ref="AY33:AY34" si="65">((((((((AP33)+(AQ33))+(AR33))+(AS33))+(AT33))+(AU33))+(AV33))+(AW33))+(AX33)</f>
        <v>12407.71</v>
      </c>
      <c r="AZ33" s="27"/>
      <c r="BA33" s="27"/>
      <c r="BB33" s="27"/>
      <c r="BC33" s="27">
        <f t="shared" si="56"/>
        <v>24325.72</v>
      </c>
    </row>
    <row r="34" ht="14.25" customHeight="1">
      <c r="A34" s="6" t="s">
        <v>140</v>
      </c>
      <c r="B34" s="28">
        <f t="shared" ref="B34:V34" si="58">((((((B27)+(B28))+(B29))+(B30))+(B31))+(B32))+(B33)</f>
        <v>0</v>
      </c>
      <c r="C34" s="28">
        <f t="shared" si="58"/>
        <v>36318.01</v>
      </c>
      <c r="D34" s="28">
        <f t="shared" si="58"/>
        <v>0</v>
      </c>
      <c r="E34" s="28">
        <f t="shared" si="58"/>
        <v>50</v>
      </c>
      <c r="F34" s="28">
        <f t="shared" si="58"/>
        <v>0</v>
      </c>
      <c r="G34" s="28">
        <f t="shared" si="58"/>
        <v>0</v>
      </c>
      <c r="H34" s="28">
        <f t="shared" si="58"/>
        <v>0</v>
      </c>
      <c r="I34" s="28">
        <f t="shared" si="58"/>
        <v>0</v>
      </c>
      <c r="J34" s="28">
        <f t="shared" si="58"/>
        <v>0</v>
      </c>
      <c r="K34" s="28">
        <f t="shared" si="58"/>
        <v>0</v>
      </c>
      <c r="L34" s="28">
        <f t="shared" si="58"/>
        <v>0</v>
      </c>
      <c r="M34" s="28">
        <f t="shared" si="58"/>
        <v>0</v>
      </c>
      <c r="N34" s="28">
        <f t="shared" si="58"/>
        <v>0</v>
      </c>
      <c r="O34" s="28">
        <f t="shared" si="58"/>
        <v>0</v>
      </c>
      <c r="P34" s="28">
        <f t="shared" si="58"/>
        <v>0</v>
      </c>
      <c r="Q34" s="28">
        <f t="shared" si="58"/>
        <v>0</v>
      </c>
      <c r="R34" s="28">
        <f t="shared" si="58"/>
        <v>50</v>
      </c>
      <c r="S34" s="28">
        <f t="shared" si="58"/>
        <v>0</v>
      </c>
      <c r="T34" s="28">
        <f t="shared" si="58"/>
        <v>0</v>
      </c>
      <c r="U34" s="28">
        <f t="shared" si="58"/>
        <v>0</v>
      </c>
      <c r="V34" s="28">
        <f t="shared" si="58"/>
        <v>0</v>
      </c>
      <c r="W34" s="28">
        <f>((((((((((((((((((D34)+(E34))+(F34))+(G34))+(H34))+(I34))+(J34))+(K34))+(L34))+(M34))+(N34))+(O34))+(P34))+(Q34))+(R34))+(S34))+(T34))+(U34))+(V34)</f>
        <v>100</v>
      </c>
      <c r="X34" s="28">
        <f t="shared" si="59"/>
        <v>36418.01</v>
      </c>
      <c r="Y34" s="28">
        <f t="shared" ref="Y34:Z34" si="60">((((((Y27)+(Y28))+(Y29))+(Y30))+(Y31))+(Y32))+(Y33)</f>
        <v>0</v>
      </c>
      <c r="Z34" s="28">
        <f t="shared" si="60"/>
        <v>33021.69</v>
      </c>
      <c r="AA34" s="28">
        <f>(Y34)+(Z34)</f>
        <v>33021.69</v>
      </c>
      <c r="AB34" s="28">
        <f t="shared" ref="AB34:AC34" si="61">((((((AB27)+(AB28))+(AB29))+(AB30))+(AB31))+(AB32))+(AB33)</f>
        <v>0</v>
      </c>
      <c r="AC34" s="28">
        <f t="shared" si="61"/>
        <v>0</v>
      </c>
      <c r="AD34" s="28">
        <f>(AB34)+(AC34)</f>
        <v>0</v>
      </c>
      <c r="AE34" s="28">
        <f t="shared" ref="AE34:AK34" si="62">((((((AE27)+(AE28))+(AE29))+(AE30))+(AE31))+(AE32))+(AE33)</f>
        <v>0</v>
      </c>
      <c r="AF34" s="28">
        <f t="shared" si="62"/>
        <v>0</v>
      </c>
      <c r="AG34" s="28">
        <f t="shared" si="62"/>
        <v>0</v>
      </c>
      <c r="AH34" s="28">
        <f t="shared" si="62"/>
        <v>16975</v>
      </c>
      <c r="AI34" s="28">
        <f t="shared" si="62"/>
        <v>639.46</v>
      </c>
      <c r="AJ34" s="28">
        <f t="shared" si="62"/>
        <v>0</v>
      </c>
      <c r="AK34" s="28">
        <f t="shared" si="62"/>
        <v>0</v>
      </c>
      <c r="AL34" s="28">
        <f>((((((AE34)+(AF34))+(AG34))+(AH34))+(AI34))+(AJ34))+(AK34)</f>
        <v>17614.46</v>
      </c>
      <c r="AM34" s="28">
        <f t="shared" ref="AM34:AN34" si="63">((((((AM27)+(AM28))+(AM29))+(AM30))+(AM31))+(AM32))+(AM33)</f>
        <v>0</v>
      </c>
      <c r="AN34" s="28">
        <f t="shared" si="63"/>
        <v>0</v>
      </c>
      <c r="AO34" s="28">
        <f>(AM34)+(AN34)</f>
        <v>0</v>
      </c>
      <c r="AP34" s="28">
        <f t="shared" ref="AP34:AX34" si="64">((((((AP27)+(AP28))+(AP29))+(AP30))+(AP31))+(AP32))+(AP33)</f>
        <v>0</v>
      </c>
      <c r="AQ34" s="28">
        <f t="shared" si="64"/>
        <v>0</v>
      </c>
      <c r="AR34" s="28">
        <f t="shared" si="64"/>
        <v>0</v>
      </c>
      <c r="AS34" s="28">
        <f t="shared" si="64"/>
        <v>9850.76</v>
      </c>
      <c r="AT34" s="28">
        <f t="shared" si="64"/>
        <v>0</v>
      </c>
      <c r="AU34" s="28">
        <f t="shared" si="64"/>
        <v>0</v>
      </c>
      <c r="AV34" s="28">
        <f t="shared" si="64"/>
        <v>0</v>
      </c>
      <c r="AW34" s="28">
        <f t="shared" si="64"/>
        <v>2556.95</v>
      </c>
      <c r="AX34" s="28">
        <f t="shared" si="64"/>
        <v>0</v>
      </c>
      <c r="AY34" s="28">
        <f t="shared" si="65"/>
        <v>12407.71</v>
      </c>
      <c r="AZ34" s="28">
        <f t="shared" ref="AZ34:BB34" si="66">((((((AZ27)+(AZ28))+(AZ29))+(AZ30))+(AZ31))+(AZ32))+(AZ33)</f>
        <v>122.75</v>
      </c>
      <c r="BA34" s="28">
        <f t="shared" si="66"/>
        <v>0</v>
      </c>
      <c r="BB34" s="28">
        <f t="shared" si="66"/>
        <v>0</v>
      </c>
      <c r="BC34" s="28">
        <f t="shared" si="56"/>
        <v>99584.62</v>
      </c>
    </row>
    <row r="35" ht="14.25" customHeight="1">
      <c r="A35" s="6" t="s">
        <v>141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</row>
    <row r="36" ht="14.25" customHeight="1">
      <c r="A36" s="6" t="s">
        <v>142</v>
      </c>
      <c r="B36" s="27"/>
      <c r="C36" s="27">
        <f>2524.42</f>
        <v>2524.42</v>
      </c>
      <c r="D36" s="27"/>
      <c r="E36" s="27">
        <f>775.49</f>
        <v>775.49</v>
      </c>
      <c r="F36" s="27">
        <f>2235.77</f>
        <v>2235.77</v>
      </c>
      <c r="G36" s="27">
        <f>2001.54</f>
        <v>2001.54</v>
      </c>
      <c r="H36" s="27">
        <f>624.03</f>
        <v>624.03</v>
      </c>
      <c r="I36" s="27">
        <f>655.8</f>
        <v>655.8</v>
      </c>
      <c r="J36" s="27">
        <f>204.8</f>
        <v>204.8</v>
      </c>
      <c r="K36" s="27"/>
      <c r="L36" s="27"/>
      <c r="M36" s="27">
        <f>1176.97</f>
        <v>1176.97</v>
      </c>
      <c r="N36" s="27"/>
      <c r="O36" s="27">
        <f>1674.53</f>
        <v>1674.53</v>
      </c>
      <c r="P36" s="27">
        <f>1968.07</f>
        <v>1968.07</v>
      </c>
      <c r="Q36" s="27">
        <f>108.25</f>
        <v>108.25</v>
      </c>
      <c r="R36" s="27">
        <f>366.3</f>
        <v>366.3</v>
      </c>
      <c r="S36" s="27">
        <f>127.32</f>
        <v>127.32</v>
      </c>
      <c r="T36" s="27"/>
      <c r="U36" s="27">
        <f>872.91</f>
        <v>872.91</v>
      </c>
      <c r="V36" s="27"/>
      <c r="W36" s="27">
        <f>((((((((((((((((((D36)+(E36))+(F36))+(G36))+(H36))+(I36))+(J36))+(K36))+(L36))+(M36))+(N36))+(O36))+(P36))+(Q36))+(R36))+(S36))+(T36))+(U36))+(V36)</f>
        <v>12791.78</v>
      </c>
      <c r="X36" s="27">
        <f>((B36)+(C36))+(W36)</f>
        <v>15316.2</v>
      </c>
      <c r="Y36" s="27"/>
      <c r="Z36" s="27">
        <f>4506.9</f>
        <v>4506.9</v>
      </c>
      <c r="AA36" s="27">
        <f t="shared" ref="AA36:AA37" si="67">(Y36)+(Z36)</f>
        <v>4506.9</v>
      </c>
      <c r="AB36" s="27"/>
      <c r="AC36" s="27">
        <f>1494.82</f>
        <v>1494.82</v>
      </c>
      <c r="AD36" s="27">
        <f>(AB36)+(AC36)</f>
        <v>1494.82</v>
      </c>
      <c r="AE36" s="27"/>
      <c r="AF36" s="27"/>
      <c r="AG36" s="27">
        <f>378.15</f>
        <v>378.15</v>
      </c>
      <c r="AH36" s="27"/>
      <c r="AI36" s="27">
        <f>655.13</f>
        <v>655.13</v>
      </c>
      <c r="AJ36" s="27">
        <f>623.56</f>
        <v>623.56</v>
      </c>
      <c r="AK36" s="27"/>
      <c r="AL36" s="27">
        <f>((((((AE36)+(AF36))+(AG36))+(AH36))+(AI36))+(AJ36))+(AK36)</f>
        <v>1656.84</v>
      </c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>
        <f>28.64</f>
        <v>28.64</v>
      </c>
      <c r="BA36" s="27">
        <f>86.59</f>
        <v>86.59</v>
      </c>
      <c r="BB36" s="27"/>
      <c r="BC36" s="27">
        <f t="shared" ref="BC36:BC43" si="68">((((((((X36)+(AA36))+(AD36))+(AL36))+(AO36))+(AY36))+(AZ36))+(BA36))+(BB36)</f>
        <v>23089.99</v>
      </c>
    </row>
    <row r="37" ht="14.25" customHeight="1">
      <c r="A37" s="6" t="s">
        <v>143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>
        <f>3568.88</f>
        <v>3568.88</v>
      </c>
      <c r="AA37" s="27">
        <f t="shared" si="67"/>
        <v>3568.88</v>
      </c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>
        <f t="shared" si="68"/>
        <v>3568.88</v>
      </c>
    </row>
    <row r="38" ht="14.25" customHeight="1">
      <c r="A38" s="6" t="s">
        <v>144</v>
      </c>
      <c r="B38" s="27"/>
      <c r="C38" s="27">
        <f>65.73</f>
        <v>65.73</v>
      </c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>
        <f t="shared" ref="X38:X43" si="69">((B38)+(C38))+(W38)</f>
        <v>65.73</v>
      </c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>
        <f t="shared" si="68"/>
        <v>65.73</v>
      </c>
    </row>
    <row r="39" ht="14.25" customHeight="1">
      <c r="A39" s="6" t="s">
        <v>145</v>
      </c>
      <c r="B39" s="27"/>
      <c r="C39" s="27">
        <f>13840.63</f>
        <v>13840.63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>
        <f t="shared" si="69"/>
        <v>13840.63</v>
      </c>
      <c r="Y39" s="27"/>
      <c r="Z39" s="27">
        <f>2049.62</f>
        <v>2049.62</v>
      </c>
      <c r="AA39" s="27">
        <f t="shared" ref="AA39:AA40" si="70">(Y39)+(Z39)</f>
        <v>2049.62</v>
      </c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>
        <f>556.89</f>
        <v>556.89</v>
      </c>
      <c r="AR39" s="27"/>
      <c r="AS39" s="27"/>
      <c r="AT39" s="27"/>
      <c r="AU39" s="27"/>
      <c r="AV39" s="27"/>
      <c r="AW39" s="27"/>
      <c r="AX39" s="27"/>
      <c r="AY39" s="27">
        <f>((((((((AP39)+(AQ39))+(AR39))+(AS39))+(AT39))+(AU39))+(AV39))+(AW39))+(AX39)</f>
        <v>556.89</v>
      </c>
      <c r="AZ39" s="27"/>
      <c r="BA39" s="27"/>
      <c r="BB39" s="27"/>
      <c r="BC39" s="27">
        <f t="shared" si="68"/>
        <v>16447.14</v>
      </c>
    </row>
    <row r="40" ht="14.25" customHeight="1">
      <c r="A40" s="6" t="s">
        <v>146</v>
      </c>
      <c r="B40" s="27"/>
      <c r="C40" s="27">
        <f>1114.84</f>
        <v>1114.84</v>
      </c>
      <c r="D40" s="27"/>
      <c r="E40" s="27"/>
      <c r="F40" s="27"/>
      <c r="G40" s="27"/>
      <c r="H40" s="27"/>
      <c r="I40" s="27"/>
      <c r="J40" s="27"/>
      <c r="K40" s="27"/>
      <c r="L40" s="27"/>
      <c r="M40" s="27">
        <f>1105.12</f>
        <v>1105.12</v>
      </c>
      <c r="N40" s="27"/>
      <c r="O40" s="27">
        <f>2500</f>
        <v>2500</v>
      </c>
      <c r="P40" s="27">
        <f>140.74</f>
        <v>140.74</v>
      </c>
      <c r="Q40" s="27"/>
      <c r="R40" s="27">
        <f>45.98</f>
        <v>45.98</v>
      </c>
      <c r="S40" s="27"/>
      <c r="T40" s="27"/>
      <c r="U40" s="27">
        <f>434.17</f>
        <v>434.17</v>
      </c>
      <c r="V40" s="27"/>
      <c r="W40" s="27">
        <f>((((((((((((((((((D40)+(E40))+(F40))+(G40))+(H40))+(I40))+(J40))+(K40))+(L40))+(M40))+(N40))+(O40))+(P40))+(Q40))+(R40))+(S40))+(T40))+(U40))+(V40)</f>
        <v>4226.01</v>
      </c>
      <c r="X40" s="27">
        <f t="shared" si="69"/>
        <v>5340.85</v>
      </c>
      <c r="Y40" s="27"/>
      <c r="Z40" s="27">
        <f>5904.26</f>
        <v>5904.26</v>
      </c>
      <c r="AA40" s="27">
        <f t="shared" si="70"/>
        <v>5904.26</v>
      </c>
      <c r="AB40" s="27"/>
      <c r="AC40" s="27"/>
      <c r="AD40" s="27"/>
      <c r="AE40" s="27"/>
      <c r="AF40" s="27"/>
      <c r="AG40" s="27"/>
      <c r="AH40" s="27"/>
      <c r="AI40" s="27">
        <f>1339.05</f>
        <v>1339.05</v>
      </c>
      <c r="AJ40" s="27"/>
      <c r="AK40" s="27"/>
      <c r="AL40" s="27">
        <f>((((((AE40)+(AF40))+(AG40))+(AH40))+(AI40))+(AJ40))+(AK40)</f>
        <v>1339.05</v>
      </c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>
        <f>50.97</f>
        <v>50.97</v>
      </c>
      <c r="BA40" s="27"/>
      <c r="BB40" s="27"/>
      <c r="BC40" s="27">
        <f t="shared" si="68"/>
        <v>12635.13</v>
      </c>
    </row>
    <row r="41" ht="14.25" customHeight="1">
      <c r="A41" s="6" t="s">
        <v>147</v>
      </c>
      <c r="B41" s="27"/>
      <c r="C41" s="27">
        <f>1045.86</f>
        <v>1045.86</v>
      </c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>
        <f t="shared" si="69"/>
        <v>1045.86</v>
      </c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>
        <f t="shared" si="68"/>
        <v>1045.86</v>
      </c>
    </row>
    <row r="42" ht="14.25" customHeight="1">
      <c r="A42" s="6" t="s">
        <v>148</v>
      </c>
      <c r="B42" s="27"/>
      <c r="C42" s="27">
        <f>17966.37</f>
        <v>17966.37</v>
      </c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>
        <f t="shared" si="69"/>
        <v>17966.37</v>
      </c>
      <c r="Y42" s="27"/>
      <c r="Z42" s="27">
        <f>15595.05</f>
        <v>15595.05</v>
      </c>
      <c r="AA42" s="27">
        <f t="shared" ref="AA42:AA43" si="73">(Y42)+(Z42)</f>
        <v>15595.05</v>
      </c>
      <c r="AB42" s="27"/>
      <c r="AC42" s="27"/>
      <c r="AD42" s="27"/>
      <c r="AE42" s="27"/>
      <c r="AF42" s="27"/>
      <c r="AG42" s="27"/>
      <c r="AH42" s="27">
        <f>615.62</f>
        <v>615.62</v>
      </c>
      <c r="AI42" s="27">
        <f>1849.15</f>
        <v>1849.15</v>
      </c>
      <c r="AJ42" s="27"/>
      <c r="AK42" s="27"/>
      <c r="AL42" s="27">
        <f t="shared" ref="AL42:AL43" si="76">((((((AE42)+(AF42))+(AG42))+(AH42))+(AI42))+(AJ42))+(AK42)</f>
        <v>2464.77</v>
      </c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>
        <f>1791.84</f>
        <v>1791.84</v>
      </c>
      <c r="BA42" s="27"/>
      <c r="BB42" s="27"/>
      <c r="BC42" s="27">
        <f t="shared" si="68"/>
        <v>37818.03</v>
      </c>
    </row>
    <row r="43" ht="14.25" customHeight="1">
      <c r="A43" s="6" t="s">
        <v>149</v>
      </c>
      <c r="B43" s="28">
        <f t="shared" ref="B43:V43" si="71">(((((((B35)+(B36))+(B37))+(B38))+(B39))+(B40))+(B41))+(B42)</f>
        <v>0</v>
      </c>
      <c r="C43" s="28">
        <f t="shared" si="71"/>
        <v>36557.85</v>
      </c>
      <c r="D43" s="28">
        <f t="shared" si="71"/>
        <v>0</v>
      </c>
      <c r="E43" s="28">
        <f t="shared" si="71"/>
        <v>775.49</v>
      </c>
      <c r="F43" s="28">
        <f t="shared" si="71"/>
        <v>2235.77</v>
      </c>
      <c r="G43" s="28">
        <f t="shared" si="71"/>
        <v>2001.54</v>
      </c>
      <c r="H43" s="28">
        <f t="shared" si="71"/>
        <v>624.03</v>
      </c>
      <c r="I43" s="28">
        <f t="shared" si="71"/>
        <v>655.8</v>
      </c>
      <c r="J43" s="28">
        <f t="shared" si="71"/>
        <v>204.8</v>
      </c>
      <c r="K43" s="28">
        <f t="shared" si="71"/>
        <v>0</v>
      </c>
      <c r="L43" s="28">
        <f t="shared" si="71"/>
        <v>0</v>
      </c>
      <c r="M43" s="28">
        <f t="shared" si="71"/>
        <v>2282.09</v>
      </c>
      <c r="N43" s="28">
        <f t="shared" si="71"/>
        <v>0</v>
      </c>
      <c r="O43" s="28">
        <f t="shared" si="71"/>
        <v>4174.53</v>
      </c>
      <c r="P43" s="28">
        <f t="shared" si="71"/>
        <v>2108.81</v>
      </c>
      <c r="Q43" s="28">
        <f t="shared" si="71"/>
        <v>108.25</v>
      </c>
      <c r="R43" s="28">
        <f t="shared" si="71"/>
        <v>412.28</v>
      </c>
      <c r="S43" s="28">
        <f t="shared" si="71"/>
        <v>127.32</v>
      </c>
      <c r="T43" s="28">
        <f t="shared" si="71"/>
        <v>0</v>
      </c>
      <c r="U43" s="28">
        <f t="shared" si="71"/>
        <v>1307.08</v>
      </c>
      <c r="V43" s="28">
        <f t="shared" si="71"/>
        <v>0</v>
      </c>
      <c r="W43" s="28">
        <f>((((((((((((((((((D43)+(E43))+(F43))+(G43))+(H43))+(I43))+(J43))+(K43))+(L43))+(M43))+(N43))+(O43))+(P43))+(Q43))+(R43))+(S43))+(T43))+(U43))+(V43)</f>
        <v>17017.79</v>
      </c>
      <c r="X43" s="28">
        <f t="shared" si="69"/>
        <v>53575.64</v>
      </c>
      <c r="Y43" s="28">
        <f t="shared" ref="Y43:Z43" si="72">(((((((Y35)+(Y36))+(Y37))+(Y38))+(Y39))+(Y40))+(Y41))+(Y42)</f>
        <v>0</v>
      </c>
      <c r="Z43" s="28">
        <f t="shared" si="72"/>
        <v>31624.71</v>
      </c>
      <c r="AA43" s="28">
        <f t="shared" si="73"/>
        <v>31624.71</v>
      </c>
      <c r="AB43" s="28">
        <f t="shared" ref="AB43:AC43" si="74">(((((((AB35)+(AB36))+(AB37))+(AB38))+(AB39))+(AB40))+(AB41))+(AB42)</f>
        <v>0</v>
      </c>
      <c r="AC43" s="28">
        <f t="shared" si="74"/>
        <v>1494.82</v>
      </c>
      <c r="AD43" s="28">
        <f>(AB43)+(AC43)</f>
        <v>1494.82</v>
      </c>
      <c r="AE43" s="28">
        <f t="shared" ref="AE43:AK43" si="75">(((((((AE35)+(AE36))+(AE37))+(AE38))+(AE39))+(AE40))+(AE41))+(AE42)</f>
        <v>0</v>
      </c>
      <c r="AF43" s="28">
        <f t="shared" si="75"/>
        <v>0</v>
      </c>
      <c r="AG43" s="28">
        <f t="shared" si="75"/>
        <v>378.15</v>
      </c>
      <c r="AH43" s="28">
        <f t="shared" si="75"/>
        <v>615.62</v>
      </c>
      <c r="AI43" s="28">
        <f t="shared" si="75"/>
        <v>3843.33</v>
      </c>
      <c r="AJ43" s="28">
        <f t="shared" si="75"/>
        <v>623.56</v>
      </c>
      <c r="AK43" s="28">
        <f t="shared" si="75"/>
        <v>0</v>
      </c>
      <c r="AL43" s="28">
        <f t="shared" si="76"/>
        <v>5460.66</v>
      </c>
      <c r="AM43" s="28">
        <f t="shared" ref="AM43:AN43" si="77">(((((((AM35)+(AM36))+(AM37))+(AM38))+(AM39))+(AM40))+(AM41))+(AM42)</f>
        <v>0</v>
      </c>
      <c r="AN43" s="28">
        <f t="shared" si="77"/>
        <v>0</v>
      </c>
      <c r="AO43" s="28">
        <f>(AM43)+(AN43)</f>
        <v>0</v>
      </c>
      <c r="AP43" s="28">
        <f t="shared" ref="AP43:AX43" si="78">(((((((AP35)+(AP36))+(AP37))+(AP38))+(AP39))+(AP40))+(AP41))+(AP42)</f>
        <v>0</v>
      </c>
      <c r="AQ43" s="28">
        <f t="shared" si="78"/>
        <v>556.89</v>
      </c>
      <c r="AR43" s="28">
        <f t="shared" si="78"/>
        <v>0</v>
      </c>
      <c r="AS43" s="28">
        <f t="shared" si="78"/>
        <v>0</v>
      </c>
      <c r="AT43" s="28">
        <f t="shared" si="78"/>
        <v>0</v>
      </c>
      <c r="AU43" s="28">
        <f t="shared" si="78"/>
        <v>0</v>
      </c>
      <c r="AV43" s="28">
        <f t="shared" si="78"/>
        <v>0</v>
      </c>
      <c r="AW43" s="28">
        <f t="shared" si="78"/>
        <v>0</v>
      </c>
      <c r="AX43" s="28">
        <f t="shared" si="78"/>
        <v>0</v>
      </c>
      <c r="AY43" s="28">
        <f>((((((((AP43)+(AQ43))+(AR43))+(AS43))+(AT43))+(AU43))+(AV43))+(AW43))+(AX43)</f>
        <v>556.89</v>
      </c>
      <c r="AZ43" s="28">
        <f t="shared" ref="AZ43:BB43" si="79">(((((((AZ35)+(AZ36))+(AZ37))+(AZ38))+(AZ39))+(AZ40))+(AZ41))+(AZ42)</f>
        <v>1871.45</v>
      </c>
      <c r="BA43" s="28">
        <f t="shared" si="79"/>
        <v>86.59</v>
      </c>
      <c r="BB43" s="28">
        <f t="shared" si="79"/>
        <v>0</v>
      </c>
      <c r="BC43" s="28">
        <f t="shared" si="68"/>
        <v>94670.76</v>
      </c>
    </row>
    <row r="44" ht="14.25" customHeight="1">
      <c r="A44" s="6" t="s">
        <v>150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</row>
    <row r="45" ht="14.25" customHeight="1">
      <c r="A45" s="6" t="s">
        <v>151</v>
      </c>
      <c r="B45" s="27"/>
      <c r="C45" s="27">
        <f>28030.91</f>
        <v>28030.91</v>
      </c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>
        <f t="shared" ref="X45:X48" si="80">((B45)+(C45))+(W45)</f>
        <v>28030.91</v>
      </c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>
        <f>384623.05</f>
        <v>384623.05</v>
      </c>
      <c r="AV45" s="27"/>
      <c r="AW45" s="27"/>
      <c r="AX45" s="27"/>
      <c r="AY45" s="27">
        <f t="shared" ref="AY45:AY48" si="81">((((((((AP45)+(AQ45))+(AR45))+(AS45))+(AT45))+(AU45))+(AV45))+(AW45))+(AX45)</f>
        <v>384623.05</v>
      </c>
      <c r="AZ45" s="27"/>
      <c r="BA45" s="27"/>
      <c r="BB45" s="27"/>
      <c r="BC45" s="27">
        <f t="shared" ref="BC45:BC48" si="82">((((((((X45)+(AA45))+(AD45))+(AL45))+(AO45))+(AY45))+(AZ45))+(BA45))+(BB45)</f>
        <v>412653.96</v>
      </c>
    </row>
    <row r="46" ht="14.25" customHeight="1">
      <c r="A46" s="6" t="s">
        <v>152</v>
      </c>
      <c r="B46" s="27"/>
      <c r="C46" s="27">
        <f>5742.37</f>
        <v>5742.37</v>
      </c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>
        <f t="shared" si="80"/>
        <v>5742.37</v>
      </c>
      <c r="Y46" s="27"/>
      <c r="Z46" s="27">
        <f>39132.83</f>
        <v>39132.83</v>
      </c>
      <c r="AA46" s="27">
        <f t="shared" ref="AA46:AA48" si="83">(Y46)+(Z46)</f>
        <v>39132.83</v>
      </c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>
        <f>12909.41</f>
        <v>12909.41</v>
      </c>
      <c r="AY46" s="27">
        <f t="shared" si="81"/>
        <v>12909.41</v>
      </c>
      <c r="AZ46" s="27"/>
      <c r="BA46" s="27"/>
      <c r="BB46" s="27">
        <f>-3.52</f>
        <v>-3.52</v>
      </c>
      <c r="BC46" s="27">
        <f t="shared" si="82"/>
        <v>57781.09</v>
      </c>
    </row>
    <row r="47" ht="14.25" customHeight="1">
      <c r="A47" s="6" t="s">
        <v>153</v>
      </c>
      <c r="B47" s="27"/>
      <c r="C47" s="27">
        <f>11195.83</f>
        <v>11195.83</v>
      </c>
      <c r="D47" s="27"/>
      <c r="E47" s="27">
        <f>99.99</f>
        <v>99.99</v>
      </c>
      <c r="F47" s="27">
        <f>643.1</f>
        <v>643.1</v>
      </c>
      <c r="G47" s="27">
        <f>496.66</f>
        <v>496.66</v>
      </c>
      <c r="H47" s="27">
        <f>170</f>
        <v>170</v>
      </c>
      <c r="I47" s="27">
        <f>131.92</f>
        <v>131.92</v>
      </c>
      <c r="J47" s="27"/>
      <c r="K47" s="27"/>
      <c r="L47" s="27"/>
      <c r="M47" s="27">
        <f>51.95</f>
        <v>51.95</v>
      </c>
      <c r="N47" s="27"/>
      <c r="O47" s="27">
        <f>291.73</f>
        <v>291.73</v>
      </c>
      <c r="P47" s="27">
        <f>2115.83</f>
        <v>2115.83</v>
      </c>
      <c r="Q47" s="27">
        <f>2841.96</f>
        <v>2841.96</v>
      </c>
      <c r="R47" s="27"/>
      <c r="S47" s="27"/>
      <c r="T47" s="27"/>
      <c r="U47" s="27">
        <f>9012.75</f>
        <v>9012.75</v>
      </c>
      <c r="V47" s="27"/>
      <c r="W47" s="27">
        <f t="shared" ref="W47:W48" si="85">((((((((((((((((((D47)+(E47))+(F47))+(G47))+(H47))+(I47))+(J47))+(K47))+(L47))+(M47))+(N47))+(O47))+(P47))+(Q47))+(R47))+(S47))+(T47))+(U47))+(V47)</f>
        <v>15855.89</v>
      </c>
      <c r="X47" s="27">
        <f t="shared" si="80"/>
        <v>27051.72</v>
      </c>
      <c r="Y47" s="27"/>
      <c r="Z47" s="27">
        <f>12898.32</f>
        <v>12898.32</v>
      </c>
      <c r="AA47" s="27">
        <f t="shared" si="83"/>
        <v>12898.32</v>
      </c>
      <c r="AB47" s="27"/>
      <c r="AC47" s="27">
        <f>548.49</f>
        <v>548.49</v>
      </c>
      <c r="AD47" s="27">
        <f t="shared" ref="AD47:AD48" si="88">(AB47)+(AC47)</f>
        <v>548.49</v>
      </c>
      <c r="AE47" s="27"/>
      <c r="AF47" s="27"/>
      <c r="AG47" s="27"/>
      <c r="AH47" s="27"/>
      <c r="AI47" s="27">
        <f>832.47</f>
        <v>832.47</v>
      </c>
      <c r="AJ47" s="27">
        <f>297</f>
        <v>297</v>
      </c>
      <c r="AK47" s="27"/>
      <c r="AL47" s="27">
        <f t="shared" ref="AL47:AL48" si="90">((((((AE47)+(AF47))+(AG47))+(AH47))+(AI47))+(AJ47))+(AK47)</f>
        <v>1129.47</v>
      </c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>
        <f t="shared" si="81"/>
        <v>0</v>
      </c>
      <c r="AZ47" s="27"/>
      <c r="BA47" s="27"/>
      <c r="BB47" s="27"/>
      <c r="BC47" s="27">
        <f t="shared" si="82"/>
        <v>41628</v>
      </c>
    </row>
    <row r="48" ht="14.25" customHeight="1">
      <c r="A48" s="6" t="s">
        <v>154</v>
      </c>
      <c r="B48" s="28">
        <f t="shared" ref="B48:V48" si="84">(((B44)+(B45))+(B46))+(B47)</f>
        <v>0</v>
      </c>
      <c r="C48" s="28">
        <f t="shared" si="84"/>
        <v>44969.11</v>
      </c>
      <c r="D48" s="28">
        <f t="shared" si="84"/>
        <v>0</v>
      </c>
      <c r="E48" s="28">
        <f t="shared" si="84"/>
        <v>99.99</v>
      </c>
      <c r="F48" s="28">
        <f t="shared" si="84"/>
        <v>643.1</v>
      </c>
      <c r="G48" s="28">
        <f t="shared" si="84"/>
        <v>496.66</v>
      </c>
      <c r="H48" s="28">
        <f t="shared" si="84"/>
        <v>170</v>
      </c>
      <c r="I48" s="28">
        <f t="shared" si="84"/>
        <v>131.92</v>
      </c>
      <c r="J48" s="28">
        <f t="shared" si="84"/>
        <v>0</v>
      </c>
      <c r="K48" s="28">
        <f t="shared" si="84"/>
        <v>0</v>
      </c>
      <c r="L48" s="28">
        <f t="shared" si="84"/>
        <v>0</v>
      </c>
      <c r="M48" s="28">
        <f t="shared" si="84"/>
        <v>51.95</v>
      </c>
      <c r="N48" s="28">
        <f t="shared" si="84"/>
        <v>0</v>
      </c>
      <c r="O48" s="28">
        <f t="shared" si="84"/>
        <v>291.73</v>
      </c>
      <c r="P48" s="28">
        <f t="shared" si="84"/>
        <v>2115.83</v>
      </c>
      <c r="Q48" s="28">
        <f t="shared" si="84"/>
        <v>2841.96</v>
      </c>
      <c r="R48" s="28">
        <f t="shared" si="84"/>
        <v>0</v>
      </c>
      <c r="S48" s="28">
        <f t="shared" si="84"/>
        <v>0</v>
      </c>
      <c r="T48" s="28">
        <f t="shared" si="84"/>
        <v>0</v>
      </c>
      <c r="U48" s="28">
        <f t="shared" si="84"/>
        <v>9012.75</v>
      </c>
      <c r="V48" s="28">
        <f t="shared" si="84"/>
        <v>0</v>
      </c>
      <c r="W48" s="28">
        <f t="shared" si="85"/>
        <v>15855.89</v>
      </c>
      <c r="X48" s="28">
        <f t="shared" si="80"/>
        <v>60825</v>
      </c>
      <c r="Y48" s="28">
        <f t="shared" ref="Y48:Z48" si="86">(((Y44)+(Y45))+(Y46))+(Y47)</f>
        <v>0</v>
      </c>
      <c r="Z48" s="28">
        <f t="shared" si="86"/>
        <v>52031.15</v>
      </c>
      <c r="AA48" s="28">
        <f t="shared" si="83"/>
        <v>52031.15</v>
      </c>
      <c r="AB48" s="28">
        <f t="shared" ref="AB48:AC48" si="87">(((AB44)+(AB45))+(AB46))+(AB47)</f>
        <v>0</v>
      </c>
      <c r="AC48" s="28">
        <f t="shared" si="87"/>
        <v>548.49</v>
      </c>
      <c r="AD48" s="28">
        <f t="shared" si="88"/>
        <v>548.49</v>
      </c>
      <c r="AE48" s="28">
        <f t="shared" ref="AE48:AK48" si="89">(((AE44)+(AE45))+(AE46))+(AE47)</f>
        <v>0</v>
      </c>
      <c r="AF48" s="28">
        <f t="shared" si="89"/>
        <v>0</v>
      </c>
      <c r="AG48" s="28">
        <f t="shared" si="89"/>
        <v>0</v>
      </c>
      <c r="AH48" s="28">
        <f t="shared" si="89"/>
        <v>0</v>
      </c>
      <c r="AI48" s="28">
        <f t="shared" si="89"/>
        <v>832.47</v>
      </c>
      <c r="AJ48" s="28">
        <f t="shared" si="89"/>
        <v>297</v>
      </c>
      <c r="AK48" s="28">
        <f t="shared" si="89"/>
        <v>0</v>
      </c>
      <c r="AL48" s="28">
        <f t="shared" si="90"/>
        <v>1129.47</v>
      </c>
      <c r="AM48" s="28">
        <f t="shared" ref="AM48:AN48" si="91">(((AM44)+(AM45))+(AM46))+(AM47)</f>
        <v>0</v>
      </c>
      <c r="AN48" s="28">
        <f t="shared" si="91"/>
        <v>0</v>
      </c>
      <c r="AO48" s="28">
        <f>(AM48)+(AN48)</f>
        <v>0</v>
      </c>
      <c r="AP48" s="28">
        <f t="shared" ref="AP48:AX48" si="92">(((AP44)+(AP45))+(AP46))+(AP47)</f>
        <v>0</v>
      </c>
      <c r="AQ48" s="28">
        <f t="shared" si="92"/>
        <v>0</v>
      </c>
      <c r="AR48" s="28">
        <f t="shared" si="92"/>
        <v>0</v>
      </c>
      <c r="AS48" s="28">
        <f t="shared" si="92"/>
        <v>0</v>
      </c>
      <c r="AT48" s="28">
        <f t="shared" si="92"/>
        <v>0</v>
      </c>
      <c r="AU48" s="28">
        <f t="shared" si="92"/>
        <v>384623.05</v>
      </c>
      <c r="AV48" s="28">
        <f t="shared" si="92"/>
        <v>0</v>
      </c>
      <c r="AW48" s="28">
        <f t="shared" si="92"/>
        <v>0</v>
      </c>
      <c r="AX48" s="28">
        <f t="shared" si="92"/>
        <v>12909.41</v>
      </c>
      <c r="AY48" s="28">
        <f t="shared" si="81"/>
        <v>397532.46</v>
      </c>
      <c r="AZ48" s="28">
        <f t="shared" ref="AZ48:BB48" si="93">(((AZ44)+(AZ45))+(AZ46))+(AZ47)</f>
        <v>0</v>
      </c>
      <c r="BA48" s="28">
        <f t="shared" si="93"/>
        <v>0</v>
      </c>
      <c r="BB48" s="28">
        <f t="shared" si="93"/>
        <v>-3.52</v>
      </c>
      <c r="BC48" s="28">
        <f t="shared" si="82"/>
        <v>512063.05</v>
      </c>
    </row>
    <row r="49" ht="14.25" customHeight="1">
      <c r="A49" s="6" t="s">
        <v>155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</row>
    <row r="50" ht="14.25" customHeight="1">
      <c r="A50" s="6" t="s">
        <v>156</v>
      </c>
      <c r="B50" s="27"/>
      <c r="C50" s="27">
        <f>241.48</f>
        <v>241.48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>
        <f t="shared" ref="X50:X51" si="95">((B50)+(C50))+(W50)</f>
        <v>241.48</v>
      </c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>
        <f t="shared" ref="BC50:BC51" si="102">((((((((X50)+(AA50))+(AD50))+(AL50))+(AO50))+(AY50))+(AZ50))+(BA50))+(BB50)</f>
        <v>241.48</v>
      </c>
    </row>
    <row r="51" ht="14.25" customHeight="1">
      <c r="A51" s="6" t="s">
        <v>157</v>
      </c>
      <c r="B51" s="28">
        <f t="shared" ref="B51:V51" si="94">(B49)+(B50)</f>
        <v>0</v>
      </c>
      <c r="C51" s="28">
        <f t="shared" si="94"/>
        <v>241.48</v>
      </c>
      <c r="D51" s="28">
        <f t="shared" si="94"/>
        <v>0</v>
      </c>
      <c r="E51" s="28">
        <f t="shared" si="94"/>
        <v>0</v>
      </c>
      <c r="F51" s="28">
        <f t="shared" si="94"/>
        <v>0</v>
      </c>
      <c r="G51" s="28">
        <f t="shared" si="94"/>
        <v>0</v>
      </c>
      <c r="H51" s="28">
        <f t="shared" si="94"/>
        <v>0</v>
      </c>
      <c r="I51" s="28">
        <f t="shared" si="94"/>
        <v>0</v>
      </c>
      <c r="J51" s="28">
        <f t="shared" si="94"/>
        <v>0</v>
      </c>
      <c r="K51" s="28">
        <f t="shared" si="94"/>
        <v>0</v>
      </c>
      <c r="L51" s="28">
        <f t="shared" si="94"/>
        <v>0</v>
      </c>
      <c r="M51" s="28">
        <f t="shared" si="94"/>
        <v>0</v>
      </c>
      <c r="N51" s="28">
        <f t="shared" si="94"/>
        <v>0</v>
      </c>
      <c r="O51" s="28">
        <f t="shared" si="94"/>
        <v>0</v>
      </c>
      <c r="P51" s="28">
        <f t="shared" si="94"/>
        <v>0</v>
      </c>
      <c r="Q51" s="28">
        <f t="shared" si="94"/>
        <v>0</v>
      </c>
      <c r="R51" s="28">
        <f t="shared" si="94"/>
        <v>0</v>
      </c>
      <c r="S51" s="28">
        <f t="shared" si="94"/>
        <v>0</v>
      </c>
      <c r="T51" s="28">
        <f t="shared" si="94"/>
        <v>0</v>
      </c>
      <c r="U51" s="28">
        <f t="shared" si="94"/>
        <v>0</v>
      </c>
      <c r="V51" s="28">
        <f t="shared" si="94"/>
        <v>0</v>
      </c>
      <c r="W51" s="28">
        <f>((((((((((((((((((D51)+(E51))+(F51))+(G51))+(H51))+(I51))+(J51))+(K51))+(L51))+(M51))+(N51))+(O51))+(P51))+(Q51))+(R51))+(S51))+(T51))+(U51))+(V51)</f>
        <v>0</v>
      </c>
      <c r="X51" s="28">
        <f t="shared" si="95"/>
        <v>241.48</v>
      </c>
      <c r="Y51" s="28">
        <f t="shared" ref="Y51:Z51" si="96">(Y49)+(Y50)</f>
        <v>0</v>
      </c>
      <c r="Z51" s="28">
        <f t="shared" si="96"/>
        <v>0</v>
      </c>
      <c r="AA51" s="28">
        <f>(Y51)+(Z51)</f>
        <v>0</v>
      </c>
      <c r="AB51" s="28">
        <f t="shared" ref="AB51:AC51" si="97">(AB49)+(AB50)</f>
        <v>0</v>
      </c>
      <c r="AC51" s="28">
        <f t="shared" si="97"/>
        <v>0</v>
      </c>
      <c r="AD51" s="28">
        <f>(AB51)+(AC51)</f>
        <v>0</v>
      </c>
      <c r="AE51" s="28">
        <f t="shared" ref="AE51:AK51" si="98">(AE49)+(AE50)</f>
        <v>0</v>
      </c>
      <c r="AF51" s="28">
        <f t="shared" si="98"/>
        <v>0</v>
      </c>
      <c r="AG51" s="28">
        <f t="shared" si="98"/>
        <v>0</v>
      </c>
      <c r="AH51" s="28">
        <f t="shared" si="98"/>
        <v>0</v>
      </c>
      <c r="AI51" s="28">
        <f t="shared" si="98"/>
        <v>0</v>
      </c>
      <c r="AJ51" s="28">
        <f t="shared" si="98"/>
        <v>0</v>
      </c>
      <c r="AK51" s="28">
        <f t="shared" si="98"/>
        <v>0</v>
      </c>
      <c r="AL51" s="28">
        <f>((((((AE51)+(AF51))+(AG51))+(AH51))+(AI51))+(AJ51))+(AK51)</f>
        <v>0</v>
      </c>
      <c r="AM51" s="28">
        <f t="shared" ref="AM51:AN51" si="99">(AM49)+(AM50)</f>
        <v>0</v>
      </c>
      <c r="AN51" s="28">
        <f t="shared" si="99"/>
        <v>0</v>
      </c>
      <c r="AO51" s="28">
        <f>(AM51)+(AN51)</f>
        <v>0</v>
      </c>
      <c r="AP51" s="28">
        <f t="shared" ref="AP51:AX51" si="100">(AP49)+(AP50)</f>
        <v>0</v>
      </c>
      <c r="AQ51" s="28">
        <f t="shared" si="100"/>
        <v>0</v>
      </c>
      <c r="AR51" s="28">
        <f t="shared" si="100"/>
        <v>0</v>
      </c>
      <c r="AS51" s="28">
        <f t="shared" si="100"/>
        <v>0</v>
      </c>
      <c r="AT51" s="28">
        <f t="shared" si="100"/>
        <v>0</v>
      </c>
      <c r="AU51" s="28">
        <f t="shared" si="100"/>
        <v>0</v>
      </c>
      <c r="AV51" s="28">
        <f t="shared" si="100"/>
        <v>0</v>
      </c>
      <c r="AW51" s="28">
        <f t="shared" si="100"/>
        <v>0</v>
      </c>
      <c r="AX51" s="28">
        <f t="shared" si="100"/>
        <v>0</v>
      </c>
      <c r="AY51" s="28">
        <f>((((((((AP51)+(AQ51))+(AR51))+(AS51))+(AT51))+(AU51))+(AV51))+(AW51))+(AX51)</f>
        <v>0</v>
      </c>
      <c r="AZ51" s="28">
        <f t="shared" ref="AZ51:BB51" si="101">(AZ49)+(AZ50)</f>
        <v>0</v>
      </c>
      <c r="BA51" s="28">
        <f t="shared" si="101"/>
        <v>0</v>
      </c>
      <c r="BB51" s="28">
        <f t="shared" si="101"/>
        <v>0</v>
      </c>
      <c r="BC51" s="28">
        <f t="shared" si="102"/>
        <v>241.48</v>
      </c>
    </row>
    <row r="52" ht="14.25" customHeight="1">
      <c r="A52" s="6" t="s">
        <v>158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</row>
    <row r="53" ht="14.25" customHeight="1">
      <c r="A53" s="6" t="s">
        <v>159</v>
      </c>
      <c r="B53" s="27"/>
      <c r="C53" s="27">
        <f>839.68</f>
        <v>839.68</v>
      </c>
      <c r="D53" s="27"/>
      <c r="E53" s="27">
        <f>152.68</f>
        <v>152.68</v>
      </c>
      <c r="F53" s="27">
        <f>1271.64</f>
        <v>1271.64</v>
      </c>
      <c r="G53" s="27">
        <f>27.77</f>
        <v>27.77</v>
      </c>
      <c r="H53" s="27">
        <f>3460.92</f>
        <v>3460.92</v>
      </c>
      <c r="I53" s="27">
        <f>698</f>
        <v>698</v>
      </c>
      <c r="J53" s="27">
        <f>11.09</f>
        <v>11.09</v>
      </c>
      <c r="K53" s="27">
        <f>358.48</f>
        <v>358.48</v>
      </c>
      <c r="L53" s="27">
        <f>296.79</f>
        <v>296.79</v>
      </c>
      <c r="M53" s="27">
        <f>568.44</f>
        <v>568.44</v>
      </c>
      <c r="N53" s="27">
        <f>4151.16</f>
        <v>4151.16</v>
      </c>
      <c r="O53" s="27">
        <f>7302.4</f>
        <v>7302.4</v>
      </c>
      <c r="P53" s="27">
        <f>2020.32</f>
        <v>2020.32</v>
      </c>
      <c r="Q53" s="27"/>
      <c r="R53" s="27">
        <f>507.97</f>
        <v>507.97</v>
      </c>
      <c r="S53" s="27">
        <f>267.43</f>
        <v>267.43</v>
      </c>
      <c r="T53" s="27">
        <f>11.7</f>
        <v>11.7</v>
      </c>
      <c r="U53" s="27">
        <f>8481.57</f>
        <v>8481.57</v>
      </c>
      <c r="V53" s="27"/>
      <c r="W53" s="27">
        <f t="shared" ref="W53:W55" si="103">((((((((((((((((((D53)+(E53))+(F53))+(G53))+(H53))+(I53))+(J53))+(K53))+(L53))+(M53))+(N53))+(O53))+(P53))+(Q53))+(R53))+(S53))+(T53))+(U53))+(V53)</f>
        <v>29588.36</v>
      </c>
      <c r="X53" s="27">
        <f t="shared" ref="X53:X55" si="104">((B53)+(C53))+(W53)</f>
        <v>30428.04</v>
      </c>
      <c r="Y53" s="27"/>
      <c r="Z53" s="27">
        <f>5185.99</f>
        <v>5185.99</v>
      </c>
      <c r="AA53" s="27">
        <f t="shared" ref="AA53:AA55" si="105">(Y53)+(Z53)</f>
        <v>5185.99</v>
      </c>
      <c r="AB53" s="27"/>
      <c r="AC53" s="27"/>
      <c r="AD53" s="27"/>
      <c r="AE53" s="27"/>
      <c r="AF53" s="27"/>
      <c r="AG53" s="27"/>
      <c r="AH53" s="27"/>
      <c r="AI53" s="27">
        <f>118.72</f>
        <v>118.72</v>
      </c>
      <c r="AJ53" s="27">
        <f>85.45</f>
        <v>85.45</v>
      </c>
      <c r="AK53" s="27"/>
      <c r="AL53" s="27">
        <f>((((((AE53)+(AF53))+(AG53))+(AH53))+(AI53))+(AJ53))+(AK53)</f>
        <v>204.17</v>
      </c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>
        <f>30.89</f>
        <v>30.89</v>
      </c>
      <c r="BA53" s="27"/>
      <c r="BB53" s="27">
        <f>298.45</f>
        <v>298.45</v>
      </c>
      <c r="BC53" s="27">
        <f t="shared" ref="BC53:BC55" si="106">((((((((X53)+(AA53))+(AD53))+(AL53))+(AO53))+(AY53))+(AZ53))+(BA53))+(BB53)</f>
        <v>36147.54</v>
      </c>
    </row>
    <row r="54" ht="14.25" customHeight="1">
      <c r="A54" s="6" t="s">
        <v>160</v>
      </c>
      <c r="B54" s="27"/>
      <c r="C54" s="27">
        <f>1861.74</f>
        <v>1861.74</v>
      </c>
      <c r="D54" s="27"/>
      <c r="E54" s="27"/>
      <c r="F54" s="27">
        <f>1803.76</f>
        <v>1803.76</v>
      </c>
      <c r="G54" s="27">
        <f>221.99</f>
        <v>221.99</v>
      </c>
      <c r="H54" s="27">
        <f>545.49</f>
        <v>545.49</v>
      </c>
      <c r="I54" s="27">
        <f>316.8</f>
        <v>316.8</v>
      </c>
      <c r="J54" s="27">
        <f>424.37</f>
        <v>424.37</v>
      </c>
      <c r="K54" s="27"/>
      <c r="L54" s="27">
        <f>103.26</f>
        <v>103.26</v>
      </c>
      <c r="M54" s="27">
        <f>64.1</f>
        <v>64.1</v>
      </c>
      <c r="N54" s="27"/>
      <c r="O54" s="27">
        <f>1142.63</f>
        <v>1142.63</v>
      </c>
      <c r="P54" s="27">
        <f>748.53</f>
        <v>748.53</v>
      </c>
      <c r="Q54" s="27">
        <f>1500</f>
        <v>1500</v>
      </c>
      <c r="R54" s="27"/>
      <c r="S54" s="27">
        <f>844.51</f>
        <v>844.51</v>
      </c>
      <c r="T54" s="27"/>
      <c r="U54" s="27">
        <f>5939.4</f>
        <v>5939.4</v>
      </c>
      <c r="V54" s="27"/>
      <c r="W54" s="27">
        <f t="shared" si="103"/>
        <v>13654.84</v>
      </c>
      <c r="X54" s="27">
        <f t="shared" si="104"/>
        <v>15516.58</v>
      </c>
      <c r="Y54" s="27"/>
      <c r="Z54" s="27">
        <f>4066.9</f>
        <v>4066.9</v>
      </c>
      <c r="AA54" s="27">
        <f t="shared" si="105"/>
        <v>4066.9</v>
      </c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>
        <f>30</f>
        <v>30</v>
      </c>
      <c r="BA54" s="27"/>
      <c r="BB54" s="27">
        <f>194.32</f>
        <v>194.32</v>
      </c>
      <c r="BC54" s="27">
        <f t="shared" si="106"/>
        <v>19807.8</v>
      </c>
    </row>
    <row r="55" ht="14.25" customHeight="1">
      <c r="A55" s="6" t="s">
        <v>161</v>
      </c>
      <c r="B55" s="28">
        <f t="shared" ref="B55:V55" si="107">((B52)+(B53))+(B54)</f>
        <v>0</v>
      </c>
      <c r="C55" s="28">
        <f t="shared" si="107"/>
        <v>2701.42</v>
      </c>
      <c r="D55" s="28">
        <f t="shared" si="107"/>
        <v>0</v>
      </c>
      <c r="E55" s="28">
        <f t="shared" si="107"/>
        <v>152.68</v>
      </c>
      <c r="F55" s="28">
        <f t="shared" si="107"/>
        <v>3075.4</v>
      </c>
      <c r="G55" s="28">
        <f t="shared" si="107"/>
        <v>249.76</v>
      </c>
      <c r="H55" s="28">
        <f t="shared" si="107"/>
        <v>4006.41</v>
      </c>
      <c r="I55" s="28">
        <f t="shared" si="107"/>
        <v>1014.8</v>
      </c>
      <c r="J55" s="28">
        <f t="shared" si="107"/>
        <v>435.46</v>
      </c>
      <c r="K55" s="28">
        <f t="shared" si="107"/>
        <v>358.48</v>
      </c>
      <c r="L55" s="28">
        <f t="shared" si="107"/>
        <v>400.05</v>
      </c>
      <c r="M55" s="28">
        <f t="shared" si="107"/>
        <v>632.54</v>
      </c>
      <c r="N55" s="28">
        <f t="shared" si="107"/>
        <v>4151.16</v>
      </c>
      <c r="O55" s="28">
        <f t="shared" si="107"/>
        <v>8445.03</v>
      </c>
      <c r="P55" s="28">
        <f t="shared" si="107"/>
        <v>2768.85</v>
      </c>
      <c r="Q55" s="28">
        <f t="shared" si="107"/>
        <v>1500</v>
      </c>
      <c r="R55" s="28">
        <f t="shared" si="107"/>
        <v>507.97</v>
      </c>
      <c r="S55" s="28">
        <f t="shared" si="107"/>
        <v>1111.94</v>
      </c>
      <c r="T55" s="28">
        <f t="shared" si="107"/>
        <v>11.7</v>
      </c>
      <c r="U55" s="28">
        <f t="shared" si="107"/>
        <v>14420.97</v>
      </c>
      <c r="V55" s="28">
        <f t="shared" si="107"/>
        <v>0</v>
      </c>
      <c r="W55" s="28">
        <f t="shared" si="103"/>
        <v>43243.2</v>
      </c>
      <c r="X55" s="28">
        <f t="shared" si="104"/>
        <v>45944.62</v>
      </c>
      <c r="Y55" s="28">
        <f t="shared" ref="Y55:Z55" si="108">((Y52)+(Y53))+(Y54)</f>
        <v>0</v>
      </c>
      <c r="Z55" s="28">
        <f t="shared" si="108"/>
        <v>9252.89</v>
      </c>
      <c r="AA55" s="28">
        <f t="shared" si="105"/>
        <v>9252.89</v>
      </c>
      <c r="AB55" s="28">
        <f t="shared" ref="AB55:AC55" si="109">((AB52)+(AB53))+(AB54)</f>
        <v>0</v>
      </c>
      <c r="AC55" s="28">
        <f t="shared" si="109"/>
        <v>0</v>
      </c>
      <c r="AD55" s="28">
        <f>(AB55)+(AC55)</f>
        <v>0</v>
      </c>
      <c r="AE55" s="28">
        <f t="shared" ref="AE55:AK55" si="110">((AE52)+(AE53))+(AE54)</f>
        <v>0</v>
      </c>
      <c r="AF55" s="28">
        <f t="shared" si="110"/>
        <v>0</v>
      </c>
      <c r="AG55" s="28">
        <f t="shared" si="110"/>
        <v>0</v>
      </c>
      <c r="AH55" s="28">
        <f t="shared" si="110"/>
        <v>0</v>
      </c>
      <c r="AI55" s="28">
        <f t="shared" si="110"/>
        <v>118.72</v>
      </c>
      <c r="AJ55" s="28">
        <f t="shared" si="110"/>
        <v>85.45</v>
      </c>
      <c r="AK55" s="28">
        <f t="shared" si="110"/>
        <v>0</v>
      </c>
      <c r="AL55" s="28">
        <f>((((((AE55)+(AF55))+(AG55))+(AH55))+(AI55))+(AJ55))+(AK55)</f>
        <v>204.17</v>
      </c>
      <c r="AM55" s="28">
        <f t="shared" ref="AM55:AN55" si="111">((AM52)+(AM53))+(AM54)</f>
        <v>0</v>
      </c>
      <c r="AN55" s="28">
        <f t="shared" si="111"/>
        <v>0</v>
      </c>
      <c r="AO55" s="28">
        <f>(AM55)+(AN55)</f>
        <v>0</v>
      </c>
      <c r="AP55" s="28">
        <f t="shared" ref="AP55:AX55" si="112">((AP52)+(AP53))+(AP54)</f>
        <v>0</v>
      </c>
      <c r="AQ55" s="28">
        <f t="shared" si="112"/>
        <v>0</v>
      </c>
      <c r="AR55" s="28">
        <f t="shared" si="112"/>
        <v>0</v>
      </c>
      <c r="AS55" s="28">
        <f t="shared" si="112"/>
        <v>0</v>
      </c>
      <c r="AT55" s="28">
        <f t="shared" si="112"/>
        <v>0</v>
      </c>
      <c r="AU55" s="28">
        <f t="shared" si="112"/>
        <v>0</v>
      </c>
      <c r="AV55" s="28">
        <f t="shared" si="112"/>
        <v>0</v>
      </c>
      <c r="AW55" s="28">
        <f t="shared" si="112"/>
        <v>0</v>
      </c>
      <c r="AX55" s="28">
        <f t="shared" si="112"/>
        <v>0</v>
      </c>
      <c r="AY55" s="28">
        <f>((((((((AP55)+(AQ55))+(AR55))+(AS55))+(AT55))+(AU55))+(AV55))+(AW55))+(AX55)</f>
        <v>0</v>
      </c>
      <c r="AZ55" s="28">
        <f t="shared" ref="AZ55:BB55" si="113">((AZ52)+(AZ53))+(AZ54)</f>
        <v>60.89</v>
      </c>
      <c r="BA55" s="28">
        <f t="shared" si="113"/>
        <v>0</v>
      </c>
      <c r="BB55" s="28">
        <f t="shared" si="113"/>
        <v>492.77</v>
      </c>
      <c r="BC55" s="28">
        <f t="shared" si="106"/>
        <v>55955.34</v>
      </c>
    </row>
    <row r="56" ht="14.25" customHeight="1">
      <c r="A56" s="6" t="s">
        <v>162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</row>
    <row r="57" ht="14.25" customHeight="1">
      <c r="A57" s="6" t="s">
        <v>163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>
        <f>197.46</f>
        <v>197.46</v>
      </c>
      <c r="AA57" s="27">
        <f t="shared" ref="AA57:AA65" si="114">(Y57)+(Z57)</f>
        <v>197.46</v>
      </c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>
        <f t="shared" ref="BC57:BC65" si="115">((((((((X57)+(AA57))+(AD57))+(AL57))+(AO57))+(AY57))+(AZ57))+(BA57))+(BB57)</f>
        <v>197.46</v>
      </c>
    </row>
    <row r="58" ht="14.25" customHeight="1">
      <c r="A58" s="6" t="s">
        <v>164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>
        <f>6495</f>
        <v>6495</v>
      </c>
      <c r="AA58" s="27">
        <f t="shared" si="114"/>
        <v>6495</v>
      </c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>
        <f>21682.33</f>
        <v>21682.33</v>
      </c>
      <c r="AS58" s="27"/>
      <c r="AT58" s="27"/>
      <c r="AU58" s="27"/>
      <c r="AV58" s="27"/>
      <c r="AW58" s="27"/>
      <c r="AX58" s="27"/>
      <c r="AY58" s="27">
        <f>((((((((AP58)+(AQ58))+(AR58))+(AS58))+(AT58))+(AU58))+(AV58))+(AW58))+(AX58)</f>
        <v>21682.33</v>
      </c>
      <c r="AZ58" s="27"/>
      <c r="BA58" s="27"/>
      <c r="BB58" s="27"/>
      <c r="BC58" s="27">
        <f t="shared" si="115"/>
        <v>28177.33</v>
      </c>
    </row>
    <row r="59" ht="14.25" customHeight="1">
      <c r="A59" s="6" t="s">
        <v>165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>
        <f>15351.13</f>
        <v>15351.13</v>
      </c>
      <c r="AA59" s="27">
        <f t="shared" si="114"/>
        <v>15351.13</v>
      </c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>
        <f t="shared" si="115"/>
        <v>15351.13</v>
      </c>
    </row>
    <row r="60" ht="14.25" customHeight="1">
      <c r="A60" s="6" t="s">
        <v>166</v>
      </c>
      <c r="B60" s="27"/>
      <c r="C60" s="27">
        <f>0.63</f>
        <v>0.63</v>
      </c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>
        <f t="shared" ref="X60:X61" si="116">((B60)+(C60))+(W60)</f>
        <v>0.63</v>
      </c>
      <c r="Y60" s="27"/>
      <c r="Z60" s="27">
        <f>1145.84</f>
        <v>1145.84</v>
      </c>
      <c r="AA60" s="27">
        <f t="shared" si="114"/>
        <v>1145.84</v>
      </c>
      <c r="AB60" s="27"/>
      <c r="AC60" s="27"/>
      <c r="AD60" s="27"/>
      <c r="AE60" s="27"/>
      <c r="AF60" s="27">
        <f>26.7</f>
        <v>26.7</v>
      </c>
      <c r="AG60" s="27"/>
      <c r="AH60" s="27"/>
      <c r="AI60" s="27"/>
      <c r="AJ60" s="27"/>
      <c r="AK60" s="27"/>
      <c r="AL60" s="27">
        <f>((((((AE60)+(AF60))+(AG60))+(AH60))+(AI60))+(AJ60))+(AK60)</f>
        <v>26.7</v>
      </c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>
        <f t="shared" si="115"/>
        <v>1173.17</v>
      </c>
    </row>
    <row r="61" ht="14.25" customHeight="1">
      <c r="A61" s="6" t="s">
        <v>167</v>
      </c>
      <c r="B61" s="27"/>
      <c r="C61" s="27"/>
      <c r="D61" s="27"/>
      <c r="E61" s="27"/>
      <c r="F61" s="27"/>
      <c r="G61" s="27">
        <f>185</f>
        <v>185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>
        <f>((((((((((((((((((D61)+(E61))+(F61))+(G61))+(H61))+(I61))+(J61))+(K61))+(L61))+(M61))+(N61))+(O61))+(P61))+(Q61))+(R61))+(S61))+(T61))+(U61))+(V61)</f>
        <v>185</v>
      </c>
      <c r="X61" s="27">
        <f t="shared" si="116"/>
        <v>185</v>
      </c>
      <c r="Y61" s="27"/>
      <c r="Z61" s="27">
        <f>2078.16</f>
        <v>2078.16</v>
      </c>
      <c r="AA61" s="27">
        <f t="shared" si="114"/>
        <v>2078.16</v>
      </c>
      <c r="AB61" s="27"/>
      <c r="AC61" s="27">
        <f>1070</f>
        <v>1070</v>
      </c>
      <c r="AD61" s="27">
        <f>(AB61)+(AC61)</f>
        <v>1070</v>
      </c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>
        <f t="shared" si="115"/>
        <v>3333.16</v>
      </c>
    </row>
    <row r="62" ht="14.25" customHeight="1">
      <c r="A62" s="6" t="s">
        <v>168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>
        <f>1460.33</f>
        <v>1460.33</v>
      </c>
      <c r="AA62" s="27">
        <f t="shared" si="114"/>
        <v>1460.33</v>
      </c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>
        <f t="shared" si="115"/>
        <v>1460.33</v>
      </c>
    </row>
    <row r="63" ht="14.25" customHeight="1">
      <c r="A63" s="6" t="s">
        <v>169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>
        <f>361.03</f>
        <v>361.03</v>
      </c>
      <c r="AA63" s="27">
        <f t="shared" si="114"/>
        <v>361.03</v>
      </c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>
        <f t="shared" si="115"/>
        <v>361.03</v>
      </c>
    </row>
    <row r="64" ht="14.25" customHeight="1">
      <c r="A64" s="6" t="s">
        <v>170</v>
      </c>
      <c r="B64" s="27"/>
      <c r="C64" s="27"/>
      <c r="D64" s="27"/>
      <c r="E64" s="27"/>
      <c r="F64" s="27"/>
      <c r="G64" s="27">
        <f>28.47</f>
        <v>28.47</v>
      </c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>
        <f t="shared" ref="W64:W67" si="118">((((((((((((((((((D64)+(E64))+(F64))+(G64))+(H64))+(I64))+(J64))+(K64))+(L64))+(M64))+(N64))+(O64))+(P64))+(Q64))+(R64))+(S64))+(T64))+(U64))+(V64)</f>
        <v>28.47</v>
      </c>
      <c r="X64" s="27">
        <f t="shared" ref="X64:X67" si="119">((B64)+(C64))+(W64)</f>
        <v>28.47</v>
      </c>
      <c r="Y64" s="27"/>
      <c r="Z64" s="27">
        <f>0.3</f>
        <v>0.3</v>
      </c>
      <c r="AA64" s="27">
        <f t="shared" si="114"/>
        <v>0.3</v>
      </c>
      <c r="AB64" s="27"/>
      <c r="AC64" s="27">
        <f>148.74</f>
        <v>148.74</v>
      </c>
      <c r="AD64" s="27">
        <f t="shared" ref="AD64:AD65" si="122">(AB64)+(AC64)</f>
        <v>148.74</v>
      </c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>
        <f>4.75</f>
        <v>4.75</v>
      </c>
      <c r="BA64" s="27"/>
      <c r="BB64" s="27"/>
      <c r="BC64" s="27">
        <f t="shared" si="115"/>
        <v>182.26</v>
      </c>
    </row>
    <row r="65" ht="14.25" customHeight="1">
      <c r="A65" s="6" t="s">
        <v>171</v>
      </c>
      <c r="B65" s="28">
        <f t="shared" ref="B65:V65" si="117">((((((((B56)+(B57))+(B58))+(B59))+(B60))+(B61))+(B62))+(B63))+(B64)</f>
        <v>0</v>
      </c>
      <c r="C65" s="28">
        <f t="shared" si="117"/>
        <v>0.63</v>
      </c>
      <c r="D65" s="28">
        <f t="shared" si="117"/>
        <v>0</v>
      </c>
      <c r="E65" s="28">
        <f t="shared" si="117"/>
        <v>0</v>
      </c>
      <c r="F65" s="28">
        <f t="shared" si="117"/>
        <v>0</v>
      </c>
      <c r="G65" s="28">
        <f t="shared" si="117"/>
        <v>213.47</v>
      </c>
      <c r="H65" s="28">
        <f t="shared" si="117"/>
        <v>0</v>
      </c>
      <c r="I65" s="28">
        <f t="shared" si="117"/>
        <v>0</v>
      </c>
      <c r="J65" s="28">
        <f t="shared" si="117"/>
        <v>0</v>
      </c>
      <c r="K65" s="28">
        <f t="shared" si="117"/>
        <v>0</v>
      </c>
      <c r="L65" s="28">
        <f t="shared" si="117"/>
        <v>0</v>
      </c>
      <c r="M65" s="28">
        <f t="shared" si="117"/>
        <v>0</v>
      </c>
      <c r="N65" s="28">
        <f t="shared" si="117"/>
        <v>0</v>
      </c>
      <c r="O65" s="28">
        <f t="shared" si="117"/>
        <v>0</v>
      </c>
      <c r="P65" s="28">
        <f t="shared" si="117"/>
        <v>0</v>
      </c>
      <c r="Q65" s="28">
        <f t="shared" si="117"/>
        <v>0</v>
      </c>
      <c r="R65" s="28">
        <f t="shared" si="117"/>
        <v>0</v>
      </c>
      <c r="S65" s="28">
        <f t="shared" si="117"/>
        <v>0</v>
      </c>
      <c r="T65" s="28">
        <f t="shared" si="117"/>
        <v>0</v>
      </c>
      <c r="U65" s="28">
        <f t="shared" si="117"/>
        <v>0</v>
      </c>
      <c r="V65" s="28">
        <f t="shared" si="117"/>
        <v>0</v>
      </c>
      <c r="W65" s="28">
        <f t="shared" si="118"/>
        <v>213.47</v>
      </c>
      <c r="X65" s="28">
        <f t="shared" si="119"/>
        <v>214.1</v>
      </c>
      <c r="Y65" s="28">
        <f t="shared" ref="Y65:Z65" si="120">((((((((Y56)+(Y57))+(Y58))+(Y59))+(Y60))+(Y61))+(Y62))+(Y63))+(Y64)</f>
        <v>0</v>
      </c>
      <c r="Z65" s="28">
        <f t="shared" si="120"/>
        <v>27089.25</v>
      </c>
      <c r="AA65" s="28">
        <f t="shared" si="114"/>
        <v>27089.25</v>
      </c>
      <c r="AB65" s="28">
        <f t="shared" ref="AB65:AC65" si="121">((((((((AB56)+(AB57))+(AB58))+(AB59))+(AB60))+(AB61))+(AB62))+(AB63))+(AB64)</f>
        <v>0</v>
      </c>
      <c r="AC65" s="28">
        <f t="shared" si="121"/>
        <v>1218.74</v>
      </c>
      <c r="AD65" s="28">
        <f t="shared" si="122"/>
        <v>1218.74</v>
      </c>
      <c r="AE65" s="28">
        <f t="shared" ref="AE65:AK65" si="123">((((((((AE56)+(AE57))+(AE58))+(AE59))+(AE60))+(AE61))+(AE62))+(AE63))+(AE64)</f>
        <v>0</v>
      </c>
      <c r="AF65" s="28">
        <f t="shared" si="123"/>
        <v>26.7</v>
      </c>
      <c r="AG65" s="28">
        <f t="shared" si="123"/>
        <v>0</v>
      </c>
      <c r="AH65" s="28">
        <f t="shared" si="123"/>
        <v>0</v>
      </c>
      <c r="AI65" s="28">
        <f t="shared" si="123"/>
        <v>0</v>
      </c>
      <c r="AJ65" s="28">
        <f t="shared" si="123"/>
        <v>0</v>
      </c>
      <c r="AK65" s="28">
        <f t="shared" si="123"/>
        <v>0</v>
      </c>
      <c r="AL65" s="28">
        <f t="shared" ref="AL65:AL67" si="127">((((((AE65)+(AF65))+(AG65))+(AH65))+(AI65))+(AJ65))+(AK65)</f>
        <v>26.7</v>
      </c>
      <c r="AM65" s="28">
        <f t="shared" ref="AM65:AN65" si="124">((((((((AM56)+(AM57))+(AM58))+(AM59))+(AM60))+(AM61))+(AM62))+(AM63))+(AM64)</f>
        <v>0</v>
      </c>
      <c r="AN65" s="28">
        <f t="shared" si="124"/>
        <v>0</v>
      </c>
      <c r="AO65" s="28">
        <f>(AM65)+(AN65)</f>
        <v>0</v>
      </c>
      <c r="AP65" s="28">
        <f t="shared" ref="AP65:AX65" si="125">((((((((AP56)+(AP57))+(AP58))+(AP59))+(AP60))+(AP61))+(AP62))+(AP63))+(AP64)</f>
        <v>0</v>
      </c>
      <c r="AQ65" s="28">
        <f t="shared" si="125"/>
        <v>0</v>
      </c>
      <c r="AR65" s="28">
        <f t="shared" si="125"/>
        <v>21682.33</v>
      </c>
      <c r="AS65" s="28">
        <f t="shared" si="125"/>
        <v>0</v>
      </c>
      <c r="AT65" s="28">
        <f t="shared" si="125"/>
        <v>0</v>
      </c>
      <c r="AU65" s="28">
        <f t="shared" si="125"/>
        <v>0</v>
      </c>
      <c r="AV65" s="28">
        <f t="shared" si="125"/>
        <v>0</v>
      </c>
      <c r="AW65" s="28">
        <f t="shared" si="125"/>
        <v>0</v>
      </c>
      <c r="AX65" s="28">
        <f t="shared" si="125"/>
        <v>0</v>
      </c>
      <c r="AY65" s="28">
        <f t="shared" ref="AY65:AY67" si="128">((((((((AP65)+(AQ65))+(AR65))+(AS65))+(AT65))+(AU65))+(AV65))+(AW65))+(AX65)</f>
        <v>21682.33</v>
      </c>
      <c r="AZ65" s="28">
        <f t="shared" ref="AZ65:BB65" si="126">((((((((AZ56)+(AZ57))+(AZ58))+(AZ59))+(AZ60))+(AZ61))+(AZ62))+(AZ63))+(AZ64)</f>
        <v>4.75</v>
      </c>
      <c r="BA65" s="28">
        <f t="shared" si="126"/>
        <v>0</v>
      </c>
      <c r="BB65" s="28">
        <f t="shared" si="126"/>
        <v>0</v>
      </c>
      <c r="BC65" s="28">
        <f t="shared" si="115"/>
        <v>50235.87</v>
      </c>
    </row>
    <row r="66" ht="14.25" customHeight="1">
      <c r="A66" s="6" t="s">
        <v>223</v>
      </c>
      <c r="B66" s="27"/>
      <c r="C66" s="27"/>
      <c r="D66" s="27"/>
      <c r="E66" s="27">
        <f>-1600</f>
        <v>-1600</v>
      </c>
      <c r="F66" s="27">
        <f>-1650</f>
        <v>-1650</v>
      </c>
      <c r="G66" s="27">
        <f>-1000</f>
        <v>-1000</v>
      </c>
      <c r="H66" s="27">
        <f>-2050</f>
        <v>-2050</v>
      </c>
      <c r="I66" s="27">
        <f>-6850</f>
        <v>-6850</v>
      </c>
      <c r="J66" s="27">
        <f>-745</f>
        <v>-745</v>
      </c>
      <c r="K66" s="27">
        <f>-1500</f>
        <v>-1500</v>
      </c>
      <c r="L66" s="27">
        <f>-1200</f>
        <v>-1200</v>
      </c>
      <c r="M66" s="27">
        <f>-3350</f>
        <v>-3350</v>
      </c>
      <c r="N66" s="27">
        <f>-2000</f>
        <v>-2000</v>
      </c>
      <c r="O66" s="27">
        <f>-6000</f>
        <v>-6000</v>
      </c>
      <c r="P66" s="27">
        <f>-6184.68</f>
        <v>-6184.68</v>
      </c>
      <c r="Q66" s="27">
        <f>-2100</f>
        <v>-2100</v>
      </c>
      <c r="R66" s="27">
        <f>-1800</f>
        <v>-1800</v>
      </c>
      <c r="S66" s="27">
        <f>-2800</f>
        <v>-2800</v>
      </c>
      <c r="T66" s="27">
        <f>-300</f>
        <v>-300</v>
      </c>
      <c r="U66" s="27">
        <f>-28200</f>
        <v>-28200</v>
      </c>
      <c r="V66" s="27"/>
      <c r="W66" s="27">
        <f t="shared" si="118"/>
        <v>-69329.68</v>
      </c>
      <c r="X66" s="27">
        <f t="shared" si="119"/>
        <v>-69329.68</v>
      </c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>
        <f>-500</f>
        <v>-500</v>
      </c>
      <c r="AL66" s="27">
        <f t="shared" si="127"/>
        <v>-500</v>
      </c>
      <c r="AM66" s="27"/>
      <c r="AN66" s="27"/>
      <c r="AO66" s="27"/>
      <c r="AP66" s="27"/>
      <c r="AQ66" s="27">
        <f>-550</f>
        <v>-550</v>
      </c>
      <c r="AR66" s="27">
        <f>-22000</f>
        <v>-22000</v>
      </c>
      <c r="AS66" s="27">
        <f>-19800</f>
        <v>-19800</v>
      </c>
      <c r="AT66" s="27">
        <f>-468.49</f>
        <v>-468.49</v>
      </c>
      <c r="AU66" s="27"/>
      <c r="AV66" s="27">
        <f>-36000</f>
        <v>-36000</v>
      </c>
      <c r="AW66" s="27">
        <f>-2475</f>
        <v>-2475</v>
      </c>
      <c r="AX66" s="27"/>
      <c r="AY66" s="27">
        <f t="shared" si="128"/>
        <v>-81293.49</v>
      </c>
      <c r="AZ66" s="27"/>
      <c r="BA66" s="27">
        <f>-200</f>
        <v>-200</v>
      </c>
      <c r="BB66" s="27">
        <f>151323.17</f>
        <v>151323.17</v>
      </c>
      <c r="BC66" s="27"/>
    </row>
    <row r="67" ht="14.25" customHeight="1">
      <c r="A67" s="6" t="s">
        <v>172</v>
      </c>
      <c r="B67" s="28">
        <f t="shared" ref="B67:V67" si="129">((((((B34)+(B43))+(B48))+(B51))+(B55))+(B65))+(B66)</f>
        <v>0</v>
      </c>
      <c r="C67" s="28">
        <f t="shared" si="129"/>
        <v>120788.5</v>
      </c>
      <c r="D67" s="28">
        <f t="shared" si="129"/>
        <v>0</v>
      </c>
      <c r="E67" s="28">
        <f t="shared" si="129"/>
        <v>-521.84</v>
      </c>
      <c r="F67" s="28">
        <f t="shared" si="129"/>
        <v>4304.27</v>
      </c>
      <c r="G67" s="28">
        <f t="shared" si="129"/>
        <v>1961.43</v>
      </c>
      <c r="H67" s="28">
        <f t="shared" si="129"/>
        <v>2750.44</v>
      </c>
      <c r="I67" s="28">
        <f t="shared" si="129"/>
        <v>-5047.48</v>
      </c>
      <c r="J67" s="28">
        <f t="shared" si="129"/>
        <v>-104.74</v>
      </c>
      <c r="K67" s="28">
        <f t="shared" si="129"/>
        <v>-1141.52</v>
      </c>
      <c r="L67" s="28">
        <f t="shared" si="129"/>
        <v>-799.95</v>
      </c>
      <c r="M67" s="28">
        <f t="shared" si="129"/>
        <v>-383.42</v>
      </c>
      <c r="N67" s="28">
        <f t="shared" si="129"/>
        <v>2151.16</v>
      </c>
      <c r="O67" s="28">
        <f t="shared" si="129"/>
        <v>6911.29</v>
      </c>
      <c r="P67" s="28">
        <f t="shared" si="129"/>
        <v>808.81</v>
      </c>
      <c r="Q67" s="28">
        <f t="shared" si="129"/>
        <v>2350.21</v>
      </c>
      <c r="R67" s="28">
        <f t="shared" si="129"/>
        <v>-829.75</v>
      </c>
      <c r="S67" s="28">
        <f t="shared" si="129"/>
        <v>-1560.74</v>
      </c>
      <c r="T67" s="28">
        <f t="shared" si="129"/>
        <v>-288.3</v>
      </c>
      <c r="U67" s="28">
        <f t="shared" si="129"/>
        <v>-3459.2</v>
      </c>
      <c r="V67" s="28">
        <f t="shared" si="129"/>
        <v>0</v>
      </c>
      <c r="W67" s="28">
        <f t="shared" si="118"/>
        <v>7100.67</v>
      </c>
      <c r="X67" s="28">
        <f t="shared" si="119"/>
        <v>127889.17</v>
      </c>
      <c r="Y67" s="28">
        <f t="shared" ref="Y67:Z67" si="130">((((((Y34)+(Y43))+(Y48))+(Y51))+(Y55))+(Y65))+(Y66)</f>
        <v>0</v>
      </c>
      <c r="Z67" s="28">
        <f t="shared" si="130"/>
        <v>153019.69</v>
      </c>
      <c r="AA67" s="28">
        <f>(Y67)+(Z67)</f>
        <v>153019.69</v>
      </c>
      <c r="AB67" s="28">
        <f t="shared" ref="AB67:AC67" si="131">((((((AB34)+(AB43))+(AB48))+(AB51))+(AB55))+(AB65))+(AB66)</f>
        <v>0</v>
      </c>
      <c r="AC67" s="28">
        <f t="shared" si="131"/>
        <v>3262.05</v>
      </c>
      <c r="AD67" s="28">
        <f>(AB67)+(AC67)</f>
        <v>3262.05</v>
      </c>
      <c r="AE67" s="28">
        <f t="shared" ref="AE67:AK67" si="132">((((((AE34)+(AE43))+(AE48))+(AE51))+(AE55))+(AE65))+(AE66)</f>
        <v>0</v>
      </c>
      <c r="AF67" s="28">
        <f t="shared" si="132"/>
        <v>26.7</v>
      </c>
      <c r="AG67" s="28">
        <f t="shared" si="132"/>
        <v>378.15</v>
      </c>
      <c r="AH67" s="28">
        <f t="shared" si="132"/>
        <v>17590.62</v>
      </c>
      <c r="AI67" s="28">
        <f t="shared" si="132"/>
        <v>5433.98</v>
      </c>
      <c r="AJ67" s="28">
        <f t="shared" si="132"/>
        <v>1006.01</v>
      </c>
      <c r="AK67" s="28">
        <f t="shared" si="132"/>
        <v>-500</v>
      </c>
      <c r="AL67" s="28">
        <f t="shared" si="127"/>
        <v>23935.46</v>
      </c>
      <c r="AM67" s="28">
        <f t="shared" ref="AM67:AN67" si="133">((((((AM34)+(AM43))+(AM48))+(AM51))+(AM55))+(AM65))+(AM66)</f>
        <v>0</v>
      </c>
      <c r="AN67" s="28">
        <f t="shared" si="133"/>
        <v>0</v>
      </c>
      <c r="AO67" s="28">
        <f>(AM67)+(AN67)</f>
        <v>0</v>
      </c>
      <c r="AP67" s="28">
        <f t="shared" ref="AP67:AX67" si="134">((((((AP34)+(AP43))+(AP48))+(AP51))+(AP55))+(AP65))+(AP66)</f>
        <v>0</v>
      </c>
      <c r="AQ67" s="28">
        <f t="shared" si="134"/>
        <v>6.89</v>
      </c>
      <c r="AR67" s="28">
        <f t="shared" si="134"/>
        <v>-317.67</v>
      </c>
      <c r="AS67" s="28">
        <f t="shared" si="134"/>
        <v>-9949.24</v>
      </c>
      <c r="AT67" s="28">
        <f t="shared" si="134"/>
        <v>-468.49</v>
      </c>
      <c r="AU67" s="28">
        <f t="shared" si="134"/>
        <v>384623.05</v>
      </c>
      <c r="AV67" s="28">
        <f t="shared" si="134"/>
        <v>-36000</v>
      </c>
      <c r="AW67" s="28">
        <f t="shared" si="134"/>
        <v>81.95</v>
      </c>
      <c r="AX67" s="28">
        <f t="shared" si="134"/>
        <v>12909.41</v>
      </c>
      <c r="AY67" s="28">
        <f t="shared" si="128"/>
        <v>350885.9</v>
      </c>
      <c r="AZ67" s="28">
        <f t="shared" ref="AZ67:BB67" si="135">((((((AZ34)+(AZ43))+(AZ48))+(AZ51))+(AZ55))+(AZ65))+(AZ66)</f>
        <v>2059.84</v>
      </c>
      <c r="BA67" s="28">
        <f t="shared" si="135"/>
        <v>-113.41</v>
      </c>
      <c r="BB67" s="28">
        <f t="shared" si="135"/>
        <v>151812.42</v>
      </c>
      <c r="BC67" s="28">
        <f>((((((((X67)+(AA67))+(AD67))+(AL67))+(AO67))+(AY67))+(AZ67))+(BA67))+(BB67)</f>
        <v>812751.12</v>
      </c>
    </row>
    <row r="68" ht="14.25" customHeight="1">
      <c r="A68" s="6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</row>
    <row r="69" ht="14.25" customHeight="1">
      <c r="A69" s="6" t="s">
        <v>173</v>
      </c>
      <c r="B69" s="28">
        <f t="shared" ref="B69:V69" si="136">(B24)-(B67)</f>
        <v>0</v>
      </c>
      <c r="C69" s="28">
        <f t="shared" si="136"/>
        <v>563069.57</v>
      </c>
      <c r="D69" s="28">
        <f t="shared" si="136"/>
        <v>0</v>
      </c>
      <c r="E69" s="28">
        <f t="shared" si="136"/>
        <v>980.79</v>
      </c>
      <c r="F69" s="28">
        <f t="shared" si="136"/>
        <v>-3734.27</v>
      </c>
      <c r="G69" s="28">
        <f t="shared" si="136"/>
        <v>-1831.43</v>
      </c>
      <c r="H69" s="28">
        <f t="shared" si="136"/>
        <v>-1433.44</v>
      </c>
      <c r="I69" s="28">
        <f t="shared" si="136"/>
        <v>7180.78</v>
      </c>
      <c r="J69" s="28">
        <f t="shared" si="136"/>
        <v>104.74</v>
      </c>
      <c r="K69" s="28">
        <f t="shared" si="136"/>
        <v>1249.52</v>
      </c>
      <c r="L69" s="28">
        <f t="shared" si="136"/>
        <v>2158.98</v>
      </c>
      <c r="M69" s="28">
        <f t="shared" si="136"/>
        <v>1036.43</v>
      </c>
      <c r="N69" s="28">
        <f t="shared" si="136"/>
        <v>11902.15</v>
      </c>
      <c r="O69" s="28">
        <f t="shared" si="136"/>
        <v>-6580.29</v>
      </c>
      <c r="P69" s="28">
        <f t="shared" si="136"/>
        <v>148.58</v>
      </c>
      <c r="Q69" s="28">
        <f t="shared" si="136"/>
        <v>2649.79</v>
      </c>
      <c r="R69" s="28">
        <f t="shared" si="136"/>
        <v>855.75</v>
      </c>
      <c r="S69" s="28">
        <f t="shared" si="136"/>
        <v>1564.74</v>
      </c>
      <c r="T69" s="28">
        <f t="shared" si="136"/>
        <v>433.3</v>
      </c>
      <c r="U69" s="28">
        <f t="shared" si="136"/>
        <v>5576.18</v>
      </c>
      <c r="V69" s="28">
        <f t="shared" si="136"/>
        <v>1626.25</v>
      </c>
      <c r="W69" s="28">
        <f>((((((((((((((((((D69)+(E69))+(F69))+(G69))+(H69))+(I69))+(J69))+(K69))+(L69))+(M69))+(N69))+(O69))+(P69))+(Q69))+(R69))+(S69))+(T69))+(U69))+(V69)</f>
        <v>23888.55</v>
      </c>
      <c r="X69" s="28">
        <f>((B69)+(C69))+(W69)</f>
        <v>586958.12</v>
      </c>
      <c r="Y69" s="28">
        <f t="shared" ref="Y69:Z69" si="137">(Y24)-(Y67)</f>
        <v>0</v>
      </c>
      <c r="Z69" s="28">
        <f t="shared" si="137"/>
        <v>-149983.11</v>
      </c>
      <c r="AA69" s="28">
        <f>(Y69)+(Z69)</f>
        <v>-149983.11</v>
      </c>
      <c r="AB69" s="28">
        <f t="shared" ref="AB69:AC69" si="138">(AB24)-(AB67)</f>
        <v>0</v>
      </c>
      <c r="AC69" s="28">
        <f t="shared" si="138"/>
        <v>-3262.05</v>
      </c>
      <c r="AD69" s="28">
        <f>(AB69)+(AC69)</f>
        <v>-3262.05</v>
      </c>
      <c r="AE69" s="28">
        <f t="shared" ref="AE69:AK69" si="139">(AE24)-(AE67)</f>
        <v>0</v>
      </c>
      <c r="AF69" s="28">
        <f t="shared" si="139"/>
        <v>1173.3</v>
      </c>
      <c r="AG69" s="28">
        <f t="shared" si="139"/>
        <v>-378.15</v>
      </c>
      <c r="AH69" s="28">
        <f t="shared" si="139"/>
        <v>-17590.62</v>
      </c>
      <c r="AI69" s="28">
        <f t="shared" si="139"/>
        <v>-5433.98</v>
      </c>
      <c r="AJ69" s="28">
        <f t="shared" si="139"/>
        <v>-1003.67</v>
      </c>
      <c r="AK69" s="28">
        <f t="shared" si="139"/>
        <v>677.53</v>
      </c>
      <c r="AL69" s="28">
        <f>((((((AE69)+(AF69))+(AG69))+(AH69))+(AI69))+(AJ69))+(AK69)</f>
        <v>-22555.59</v>
      </c>
      <c r="AM69" s="28">
        <f t="shared" ref="AM69:AN69" si="140">(AM24)-(AM67)</f>
        <v>0</v>
      </c>
      <c r="AN69" s="28">
        <f t="shared" si="140"/>
        <v>147</v>
      </c>
      <c r="AO69" s="28">
        <f>(AM69)+(AN69)</f>
        <v>147</v>
      </c>
      <c r="AP69" s="28">
        <f t="shared" ref="AP69:AX69" si="141">(AP24)-(AP67)</f>
        <v>0</v>
      </c>
      <c r="AQ69" s="28">
        <f t="shared" si="141"/>
        <v>-6.89</v>
      </c>
      <c r="AR69" s="28">
        <f t="shared" si="141"/>
        <v>317.67</v>
      </c>
      <c r="AS69" s="28">
        <f t="shared" si="141"/>
        <v>9949.24</v>
      </c>
      <c r="AT69" s="28">
        <f t="shared" si="141"/>
        <v>468.49</v>
      </c>
      <c r="AU69" s="28">
        <f t="shared" si="141"/>
        <v>-384623.05</v>
      </c>
      <c r="AV69" s="28">
        <f t="shared" si="141"/>
        <v>36000</v>
      </c>
      <c r="AW69" s="28">
        <f t="shared" si="141"/>
        <v>-81.95</v>
      </c>
      <c r="AX69" s="28">
        <f t="shared" si="141"/>
        <v>-12909.41</v>
      </c>
      <c r="AY69" s="28">
        <f>((((((((AP69)+(AQ69))+(AR69))+(AS69))+(AT69))+(AU69))+(AV69))+(AW69))+(AX69)</f>
        <v>-350885.9</v>
      </c>
      <c r="AZ69" s="28">
        <f t="shared" ref="AZ69:BB69" si="142">(AZ24)-(AZ67)</f>
        <v>-2059.84</v>
      </c>
      <c r="BA69" s="28">
        <f t="shared" si="142"/>
        <v>113.41</v>
      </c>
      <c r="BB69" s="28">
        <f t="shared" si="142"/>
        <v>-146914.26</v>
      </c>
      <c r="BC69" s="28">
        <f>((((((((X69)+(AA69))+(AD69))+(AL69))+(AO69))+(AY69))+(AZ69))+(BA69))+(BB69)</f>
        <v>-88442.22</v>
      </c>
    </row>
    <row r="70" ht="14.25" customHeight="1">
      <c r="A70" s="6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</row>
    <row r="71" ht="14.25" customHeight="1">
      <c r="A71" s="6" t="s">
        <v>61</v>
      </c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</row>
    <row r="72" ht="14.25" customHeight="1">
      <c r="A72" s="6" t="s">
        <v>174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</row>
    <row r="73" ht="14.25" customHeight="1">
      <c r="A73" s="6" t="s">
        <v>175</v>
      </c>
      <c r="B73" s="27"/>
      <c r="C73" s="27">
        <f>4650</f>
        <v>4650</v>
      </c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>
        <f t="shared" ref="X73:X74" si="144">((B73)+(C73))+(W73)</f>
        <v>4650</v>
      </c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>
        <f t="shared" ref="BC73:BC74" si="151">((((((((X73)+(AA73))+(AD73))+(AL73))+(AO73))+(AY73))+(AZ73))+(BA73))+(BB73)</f>
        <v>4650</v>
      </c>
    </row>
    <row r="74" ht="14.25" customHeight="1">
      <c r="A74" s="6" t="s">
        <v>176</v>
      </c>
      <c r="B74" s="28">
        <f t="shared" ref="B74:V74" si="143">(B72)+(B73)</f>
        <v>0</v>
      </c>
      <c r="C74" s="28">
        <f t="shared" si="143"/>
        <v>4650</v>
      </c>
      <c r="D74" s="28">
        <f t="shared" si="143"/>
        <v>0</v>
      </c>
      <c r="E74" s="28">
        <f t="shared" si="143"/>
        <v>0</v>
      </c>
      <c r="F74" s="28">
        <f t="shared" si="143"/>
        <v>0</v>
      </c>
      <c r="G74" s="28">
        <f t="shared" si="143"/>
        <v>0</v>
      </c>
      <c r="H74" s="28">
        <f t="shared" si="143"/>
        <v>0</v>
      </c>
      <c r="I74" s="28">
        <f t="shared" si="143"/>
        <v>0</v>
      </c>
      <c r="J74" s="28">
        <f t="shared" si="143"/>
        <v>0</v>
      </c>
      <c r="K74" s="28">
        <f t="shared" si="143"/>
        <v>0</v>
      </c>
      <c r="L74" s="28">
        <f t="shared" si="143"/>
        <v>0</v>
      </c>
      <c r="M74" s="28">
        <f t="shared" si="143"/>
        <v>0</v>
      </c>
      <c r="N74" s="28">
        <f t="shared" si="143"/>
        <v>0</v>
      </c>
      <c r="O74" s="28">
        <f t="shared" si="143"/>
        <v>0</v>
      </c>
      <c r="P74" s="28">
        <f t="shared" si="143"/>
        <v>0</v>
      </c>
      <c r="Q74" s="28">
        <f t="shared" si="143"/>
        <v>0</v>
      </c>
      <c r="R74" s="28">
        <f t="shared" si="143"/>
        <v>0</v>
      </c>
      <c r="S74" s="28">
        <f t="shared" si="143"/>
        <v>0</v>
      </c>
      <c r="T74" s="28">
        <f t="shared" si="143"/>
        <v>0</v>
      </c>
      <c r="U74" s="28">
        <f t="shared" si="143"/>
        <v>0</v>
      </c>
      <c r="V74" s="28">
        <f t="shared" si="143"/>
        <v>0</v>
      </c>
      <c r="W74" s="28">
        <f>((((((((((((((((((D74)+(E74))+(F74))+(G74))+(H74))+(I74))+(J74))+(K74))+(L74))+(M74))+(N74))+(O74))+(P74))+(Q74))+(R74))+(S74))+(T74))+(U74))+(V74)</f>
        <v>0</v>
      </c>
      <c r="X74" s="28">
        <f t="shared" si="144"/>
        <v>4650</v>
      </c>
      <c r="Y74" s="28">
        <f t="shared" ref="Y74:Z74" si="145">(Y72)+(Y73)</f>
        <v>0</v>
      </c>
      <c r="Z74" s="28">
        <f t="shared" si="145"/>
        <v>0</v>
      </c>
      <c r="AA74" s="28">
        <f>(Y74)+(Z74)</f>
        <v>0</v>
      </c>
      <c r="AB74" s="28">
        <f t="shared" ref="AB74:AC74" si="146">(AB72)+(AB73)</f>
        <v>0</v>
      </c>
      <c r="AC74" s="28">
        <f t="shared" si="146"/>
        <v>0</v>
      </c>
      <c r="AD74" s="28">
        <f>(AB74)+(AC74)</f>
        <v>0</v>
      </c>
      <c r="AE74" s="28">
        <f t="shared" ref="AE74:AK74" si="147">(AE72)+(AE73)</f>
        <v>0</v>
      </c>
      <c r="AF74" s="28">
        <f t="shared" si="147"/>
        <v>0</v>
      </c>
      <c r="AG74" s="28">
        <f t="shared" si="147"/>
        <v>0</v>
      </c>
      <c r="AH74" s="28">
        <f t="shared" si="147"/>
        <v>0</v>
      </c>
      <c r="AI74" s="28">
        <f t="shared" si="147"/>
        <v>0</v>
      </c>
      <c r="AJ74" s="28">
        <f t="shared" si="147"/>
        <v>0</v>
      </c>
      <c r="AK74" s="28">
        <f t="shared" si="147"/>
        <v>0</v>
      </c>
      <c r="AL74" s="28">
        <f>((((((AE74)+(AF74))+(AG74))+(AH74))+(AI74))+(AJ74))+(AK74)</f>
        <v>0</v>
      </c>
      <c r="AM74" s="28">
        <f t="shared" ref="AM74:AN74" si="148">(AM72)+(AM73)</f>
        <v>0</v>
      </c>
      <c r="AN74" s="28">
        <f t="shared" si="148"/>
        <v>0</v>
      </c>
      <c r="AO74" s="28">
        <f>(AM74)+(AN74)</f>
        <v>0</v>
      </c>
      <c r="AP74" s="28">
        <f t="shared" ref="AP74:AX74" si="149">(AP72)+(AP73)</f>
        <v>0</v>
      </c>
      <c r="AQ74" s="28">
        <f t="shared" si="149"/>
        <v>0</v>
      </c>
      <c r="AR74" s="28">
        <f t="shared" si="149"/>
        <v>0</v>
      </c>
      <c r="AS74" s="28">
        <f t="shared" si="149"/>
        <v>0</v>
      </c>
      <c r="AT74" s="28">
        <f t="shared" si="149"/>
        <v>0</v>
      </c>
      <c r="AU74" s="28">
        <f t="shared" si="149"/>
        <v>0</v>
      </c>
      <c r="AV74" s="28">
        <f t="shared" si="149"/>
        <v>0</v>
      </c>
      <c r="AW74" s="28">
        <f t="shared" si="149"/>
        <v>0</v>
      </c>
      <c r="AX74" s="28">
        <f t="shared" si="149"/>
        <v>0</v>
      </c>
      <c r="AY74" s="28">
        <f>((((((((AP74)+(AQ74))+(AR74))+(AS74))+(AT74))+(AU74))+(AV74))+(AW74))+(AX74)</f>
        <v>0</v>
      </c>
      <c r="AZ74" s="28">
        <f t="shared" ref="AZ74:BB74" si="150">(AZ72)+(AZ73)</f>
        <v>0</v>
      </c>
      <c r="BA74" s="28">
        <f t="shared" si="150"/>
        <v>0</v>
      </c>
      <c r="BB74" s="28">
        <f t="shared" si="150"/>
        <v>0</v>
      </c>
      <c r="BC74" s="28">
        <f t="shared" si="151"/>
        <v>4650</v>
      </c>
    </row>
    <row r="75" ht="14.25" customHeight="1">
      <c r="A75" s="6" t="s">
        <v>177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</row>
    <row r="76" ht="14.25" customHeight="1">
      <c r="A76" s="6" t="s">
        <v>178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>
        <f>50.71</f>
        <v>50.71</v>
      </c>
      <c r="AA76" s="27">
        <f>(Y76)+(Z76)</f>
        <v>50.71</v>
      </c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>
        <f t="shared" ref="BC76:BC79" si="152">((((((((X76)+(AA76))+(AD76))+(AL76))+(AO76))+(AY76))+(AZ76))+(BA76))+(BB76)</f>
        <v>50.71</v>
      </c>
    </row>
    <row r="77" ht="14.25" customHeight="1">
      <c r="A77" s="6" t="s">
        <v>179</v>
      </c>
      <c r="B77" s="27"/>
      <c r="C77" s="27"/>
      <c r="D77" s="27"/>
      <c r="E77" s="27"/>
      <c r="F77" s="27"/>
      <c r="G77" s="27"/>
      <c r="H77" s="27">
        <f>250</f>
        <v>250</v>
      </c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>
        <f t="shared" ref="W77:W79" si="154">((((((((((((((((((D77)+(E77))+(F77))+(G77))+(H77))+(I77))+(J77))+(K77))+(L77))+(M77))+(N77))+(O77))+(P77))+(Q77))+(R77))+(S77))+(T77))+(U77))+(V77)</f>
        <v>250</v>
      </c>
      <c r="X77" s="27">
        <f t="shared" ref="X77:X79" si="155">((B77)+(C77))+(W77)</f>
        <v>250</v>
      </c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>
        <f t="shared" si="152"/>
        <v>250</v>
      </c>
    </row>
    <row r="78" ht="14.25" customHeight="1">
      <c r="A78" s="6" t="s">
        <v>180</v>
      </c>
      <c r="B78" s="28">
        <f t="shared" ref="B78:V78" si="153">((B75)+(B76))+(B77)</f>
        <v>0</v>
      </c>
      <c r="C78" s="28">
        <f t="shared" si="153"/>
        <v>0</v>
      </c>
      <c r="D78" s="28">
        <f t="shared" si="153"/>
        <v>0</v>
      </c>
      <c r="E78" s="28">
        <f t="shared" si="153"/>
        <v>0</v>
      </c>
      <c r="F78" s="28">
        <f t="shared" si="153"/>
        <v>0</v>
      </c>
      <c r="G78" s="28">
        <f t="shared" si="153"/>
        <v>0</v>
      </c>
      <c r="H78" s="28">
        <f t="shared" si="153"/>
        <v>250</v>
      </c>
      <c r="I78" s="28">
        <f t="shared" si="153"/>
        <v>0</v>
      </c>
      <c r="J78" s="28">
        <f t="shared" si="153"/>
        <v>0</v>
      </c>
      <c r="K78" s="28">
        <f t="shared" si="153"/>
        <v>0</v>
      </c>
      <c r="L78" s="28">
        <f t="shared" si="153"/>
        <v>0</v>
      </c>
      <c r="M78" s="28">
        <f t="shared" si="153"/>
        <v>0</v>
      </c>
      <c r="N78" s="28">
        <f t="shared" si="153"/>
        <v>0</v>
      </c>
      <c r="O78" s="28">
        <f t="shared" si="153"/>
        <v>0</v>
      </c>
      <c r="P78" s="28">
        <f t="shared" si="153"/>
        <v>0</v>
      </c>
      <c r="Q78" s="28">
        <f t="shared" si="153"/>
        <v>0</v>
      </c>
      <c r="R78" s="28">
        <f t="shared" si="153"/>
        <v>0</v>
      </c>
      <c r="S78" s="28">
        <f t="shared" si="153"/>
        <v>0</v>
      </c>
      <c r="T78" s="28">
        <f t="shared" si="153"/>
        <v>0</v>
      </c>
      <c r="U78" s="28">
        <f t="shared" si="153"/>
        <v>0</v>
      </c>
      <c r="V78" s="28">
        <f t="shared" si="153"/>
        <v>0</v>
      </c>
      <c r="W78" s="28">
        <f t="shared" si="154"/>
        <v>250</v>
      </c>
      <c r="X78" s="28">
        <f t="shared" si="155"/>
        <v>250</v>
      </c>
      <c r="Y78" s="28">
        <f t="shared" ref="Y78:Z78" si="156">((Y75)+(Y76))+(Y77)</f>
        <v>0</v>
      </c>
      <c r="Z78" s="28">
        <f t="shared" si="156"/>
        <v>50.71</v>
      </c>
      <c r="AA78" s="28">
        <f t="shared" ref="AA78:AA79" si="164">(Y78)+(Z78)</f>
        <v>50.71</v>
      </c>
      <c r="AB78" s="28">
        <f t="shared" ref="AB78:AC78" si="157">((AB75)+(AB76))+(AB77)</f>
        <v>0</v>
      </c>
      <c r="AC78" s="28">
        <f t="shared" si="157"/>
        <v>0</v>
      </c>
      <c r="AD78" s="28">
        <f t="shared" ref="AD78:AD79" si="166">(AB78)+(AC78)</f>
        <v>0</v>
      </c>
      <c r="AE78" s="28">
        <f t="shared" ref="AE78:AK78" si="158">((AE75)+(AE76))+(AE77)</f>
        <v>0</v>
      </c>
      <c r="AF78" s="28">
        <f t="shared" si="158"/>
        <v>0</v>
      </c>
      <c r="AG78" s="28">
        <f t="shared" si="158"/>
        <v>0</v>
      </c>
      <c r="AH78" s="28">
        <f t="shared" si="158"/>
        <v>0</v>
      </c>
      <c r="AI78" s="28">
        <f t="shared" si="158"/>
        <v>0</v>
      </c>
      <c r="AJ78" s="28">
        <f t="shared" si="158"/>
        <v>0</v>
      </c>
      <c r="AK78" s="28">
        <f t="shared" si="158"/>
        <v>0</v>
      </c>
      <c r="AL78" s="28">
        <f t="shared" ref="AL78:AL79" si="168">((((((AE78)+(AF78))+(AG78))+(AH78))+(AI78))+(AJ78))+(AK78)</f>
        <v>0</v>
      </c>
      <c r="AM78" s="28">
        <f t="shared" ref="AM78:AN78" si="159">((AM75)+(AM76))+(AM77)</f>
        <v>0</v>
      </c>
      <c r="AN78" s="28">
        <f t="shared" si="159"/>
        <v>0</v>
      </c>
      <c r="AO78" s="28">
        <f t="shared" ref="AO78:AO79" si="170">(AM78)+(AN78)</f>
        <v>0</v>
      </c>
      <c r="AP78" s="28">
        <f t="shared" ref="AP78:AX78" si="160">((AP75)+(AP76))+(AP77)</f>
        <v>0</v>
      </c>
      <c r="AQ78" s="28">
        <f t="shared" si="160"/>
        <v>0</v>
      </c>
      <c r="AR78" s="28">
        <f t="shared" si="160"/>
        <v>0</v>
      </c>
      <c r="AS78" s="28">
        <f t="shared" si="160"/>
        <v>0</v>
      </c>
      <c r="AT78" s="28">
        <f t="shared" si="160"/>
        <v>0</v>
      </c>
      <c r="AU78" s="28">
        <f t="shared" si="160"/>
        <v>0</v>
      </c>
      <c r="AV78" s="28">
        <f t="shared" si="160"/>
        <v>0</v>
      </c>
      <c r="AW78" s="28">
        <f t="shared" si="160"/>
        <v>0</v>
      </c>
      <c r="AX78" s="28">
        <f t="shared" si="160"/>
        <v>0</v>
      </c>
      <c r="AY78" s="28">
        <f t="shared" ref="AY78:AY79" si="172">((((((((AP78)+(AQ78))+(AR78))+(AS78))+(AT78))+(AU78))+(AV78))+(AW78))+(AX78)</f>
        <v>0</v>
      </c>
      <c r="AZ78" s="28">
        <f t="shared" ref="AZ78:BB78" si="161">((AZ75)+(AZ76))+(AZ77)</f>
        <v>0</v>
      </c>
      <c r="BA78" s="28">
        <f t="shared" si="161"/>
        <v>0</v>
      </c>
      <c r="BB78" s="28">
        <f t="shared" si="161"/>
        <v>0</v>
      </c>
      <c r="BC78" s="28">
        <f t="shared" si="152"/>
        <v>300.71</v>
      </c>
    </row>
    <row r="79" ht="14.25" customHeight="1">
      <c r="A79" s="6" t="s">
        <v>181</v>
      </c>
      <c r="B79" s="28">
        <f t="shared" ref="B79:V79" si="162">(B74)+(B78)</f>
        <v>0</v>
      </c>
      <c r="C79" s="28">
        <f t="shared" si="162"/>
        <v>4650</v>
      </c>
      <c r="D79" s="28">
        <f t="shared" si="162"/>
        <v>0</v>
      </c>
      <c r="E79" s="28">
        <f t="shared" si="162"/>
        <v>0</v>
      </c>
      <c r="F79" s="28">
        <f t="shared" si="162"/>
        <v>0</v>
      </c>
      <c r="G79" s="28">
        <f t="shared" si="162"/>
        <v>0</v>
      </c>
      <c r="H79" s="28">
        <f t="shared" si="162"/>
        <v>250</v>
      </c>
      <c r="I79" s="28">
        <f t="shared" si="162"/>
        <v>0</v>
      </c>
      <c r="J79" s="28">
        <f t="shared" si="162"/>
        <v>0</v>
      </c>
      <c r="K79" s="28">
        <f t="shared" si="162"/>
        <v>0</v>
      </c>
      <c r="L79" s="28">
        <f t="shared" si="162"/>
        <v>0</v>
      </c>
      <c r="M79" s="28">
        <f t="shared" si="162"/>
        <v>0</v>
      </c>
      <c r="N79" s="28">
        <f t="shared" si="162"/>
        <v>0</v>
      </c>
      <c r="O79" s="28">
        <f t="shared" si="162"/>
        <v>0</v>
      </c>
      <c r="P79" s="28">
        <f t="shared" si="162"/>
        <v>0</v>
      </c>
      <c r="Q79" s="28">
        <f t="shared" si="162"/>
        <v>0</v>
      </c>
      <c r="R79" s="28">
        <f t="shared" si="162"/>
        <v>0</v>
      </c>
      <c r="S79" s="28">
        <f t="shared" si="162"/>
        <v>0</v>
      </c>
      <c r="T79" s="28">
        <f t="shared" si="162"/>
        <v>0</v>
      </c>
      <c r="U79" s="28">
        <f t="shared" si="162"/>
        <v>0</v>
      </c>
      <c r="V79" s="28">
        <f t="shared" si="162"/>
        <v>0</v>
      </c>
      <c r="W79" s="28">
        <f t="shared" si="154"/>
        <v>250</v>
      </c>
      <c r="X79" s="28">
        <f t="shared" si="155"/>
        <v>4900</v>
      </c>
      <c r="Y79" s="28">
        <f t="shared" ref="Y79:Z79" si="163">(Y74)+(Y78)</f>
        <v>0</v>
      </c>
      <c r="Z79" s="28">
        <f t="shared" si="163"/>
        <v>50.71</v>
      </c>
      <c r="AA79" s="28">
        <f t="shared" si="164"/>
        <v>50.71</v>
      </c>
      <c r="AB79" s="28">
        <f t="shared" ref="AB79:AC79" si="165">(AB74)+(AB78)</f>
        <v>0</v>
      </c>
      <c r="AC79" s="28">
        <f t="shared" si="165"/>
        <v>0</v>
      </c>
      <c r="AD79" s="28">
        <f t="shared" si="166"/>
        <v>0</v>
      </c>
      <c r="AE79" s="28">
        <f t="shared" ref="AE79:AK79" si="167">(AE74)+(AE78)</f>
        <v>0</v>
      </c>
      <c r="AF79" s="28">
        <f t="shared" si="167"/>
        <v>0</v>
      </c>
      <c r="AG79" s="28">
        <f t="shared" si="167"/>
        <v>0</v>
      </c>
      <c r="AH79" s="28">
        <f t="shared" si="167"/>
        <v>0</v>
      </c>
      <c r="AI79" s="28">
        <f t="shared" si="167"/>
        <v>0</v>
      </c>
      <c r="AJ79" s="28">
        <f t="shared" si="167"/>
        <v>0</v>
      </c>
      <c r="AK79" s="28">
        <f t="shared" si="167"/>
        <v>0</v>
      </c>
      <c r="AL79" s="28">
        <f t="shared" si="168"/>
        <v>0</v>
      </c>
      <c r="AM79" s="28">
        <f t="shared" ref="AM79:AN79" si="169">(AM74)+(AM78)</f>
        <v>0</v>
      </c>
      <c r="AN79" s="28">
        <f t="shared" si="169"/>
        <v>0</v>
      </c>
      <c r="AO79" s="28">
        <f t="shared" si="170"/>
        <v>0</v>
      </c>
      <c r="AP79" s="28">
        <f t="shared" ref="AP79:AX79" si="171">(AP74)+(AP78)</f>
        <v>0</v>
      </c>
      <c r="AQ79" s="28">
        <f t="shared" si="171"/>
        <v>0</v>
      </c>
      <c r="AR79" s="28">
        <f t="shared" si="171"/>
        <v>0</v>
      </c>
      <c r="AS79" s="28">
        <f t="shared" si="171"/>
        <v>0</v>
      </c>
      <c r="AT79" s="28">
        <f t="shared" si="171"/>
        <v>0</v>
      </c>
      <c r="AU79" s="28">
        <f t="shared" si="171"/>
        <v>0</v>
      </c>
      <c r="AV79" s="28">
        <f t="shared" si="171"/>
        <v>0</v>
      </c>
      <c r="AW79" s="28">
        <f t="shared" si="171"/>
        <v>0</v>
      </c>
      <c r="AX79" s="28">
        <f t="shared" si="171"/>
        <v>0</v>
      </c>
      <c r="AY79" s="28">
        <f t="shared" si="172"/>
        <v>0</v>
      </c>
      <c r="AZ79" s="28">
        <f t="shared" ref="AZ79:BB79" si="173">(AZ74)+(AZ78)</f>
        <v>0</v>
      </c>
      <c r="BA79" s="28">
        <f t="shared" si="173"/>
        <v>0</v>
      </c>
      <c r="BB79" s="28">
        <f t="shared" si="173"/>
        <v>0</v>
      </c>
      <c r="BC79" s="28">
        <f t="shared" si="152"/>
        <v>4950.71</v>
      </c>
    </row>
    <row r="80" ht="14.25" customHeight="1">
      <c r="A80" s="6" t="s">
        <v>182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</row>
    <row r="81" ht="14.25" customHeight="1">
      <c r="A81" s="6" t="s">
        <v>183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</row>
    <row r="82" ht="14.25" customHeight="1">
      <c r="A82" s="6" t="s">
        <v>184</v>
      </c>
      <c r="B82" s="27"/>
      <c r="C82" s="27">
        <f>4650</f>
        <v>4650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>
        <f t="shared" ref="X82:X85" si="175">((B82)+(C82))+(W82)</f>
        <v>4650</v>
      </c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>
        <f t="shared" ref="BC82:BC85" si="182">((((((((X82)+(AA82))+(AD82))+(AL82))+(AO82))+(AY82))+(AZ82))+(BA82))+(BB82)</f>
        <v>4650</v>
      </c>
    </row>
    <row r="83" ht="14.25" hidden="1" customHeight="1">
      <c r="A83" s="6" t="s">
        <v>185</v>
      </c>
      <c r="B83" s="28">
        <f t="shared" ref="B83:V83" si="174">(B81)+(B82)</f>
        <v>0</v>
      </c>
      <c r="C83" s="28">
        <f t="shared" si="174"/>
        <v>4650</v>
      </c>
      <c r="D83" s="28">
        <f t="shared" si="174"/>
        <v>0</v>
      </c>
      <c r="E83" s="28">
        <f t="shared" si="174"/>
        <v>0</v>
      </c>
      <c r="F83" s="28">
        <f t="shared" si="174"/>
        <v>0</v>
      </c>
      <c r="G83" s="28">
        <f t="shared" si="174"/>
        <v>0</v>
      </c>
      <c r="H83" s="28">
        <f t="shared" si="174"/>
        <v>0</v>
      </c>
      <c r="I83" s="28">
        <f t="shared" si="174"/>
        <v>0</v>
      </c>
      <c r="J83" s="28">
        <f t="shared" si="174"/>
        <v>0</v>
      </c>
      <c r="K83" s="28">
        <f t="shared" si="174"/>
        <v>0</v>
      </c>
      <c r="L83" s="28">
        <f t="shared" si="174"/>
        <v>0</v>
      </c>
      <c r="M83" s="28">
        <f t="shared" si="174"/>
        <v>0</v>
      </c>
      <c r="N83" s="28">
        <f t="shared" si="174"/>
        <v>0</v>
      </c>
      <c r="O83" s="28">
        <f t="shared" si="174"/>
        <v>0</v>
      </c>
      <c r="P83" s="28">
        <f t="shared" si="174"/>
        <v>0</v>
      </c>
      <c r="Q83" s="28">
        <f t="shared" si="174"/>
        <v>0</v>
      </c>
      <c r="R83" s="28">
        <f t="shared" si="174"/>
        <v>0</v>
      </c>
      <c r="S83" s="28">
        <f t="shared" si="174"/>
        <v>0</v>
      </c>
      <c r="T83" s="28">
        <f t="shared" si="174"/>
        <v>0</v>
      </c>
      <c r="U83" s="28">
        <f t="shared" si="174"/>
        <v>0</v>
      </c>
      <c r="V83" s="28">
        <f t="shared" si="174"/>
        <v>0</v>
      </c>
      <c r="W83" s="28">
        <f t="shared" ref="W83:W85" si="184">((((((((((((((((((D83)+(E83))+(F83))+(G83))+(H83))+(I83))+(J83))+(K83))+(L83))+(M83))+(N83))+(O83))+(P83))+(Q83))+(R83))+(S83))+(T83))+(U83))+(V83)</f>
        <v>0</v>
      </c>
      <c r="X83" s="28">
        <f t="shared" si="175"/>
        <v>4650</v>
      </c>
      <c r="Y83" s="28">
        <f t="shared" ref="Y83:Z83" si="176">(Y81)+(Y82)</f>
        <v>0</v>
      </c>
      <c r="Z83" s="28">
        <f t="shared" si="176"/>
        <v>0</v>
      </c>
      <c r="AA83" s="28">
        <f t="shared" ref="AA83:AA85" si="186">(Y83)+(Z83)</f>
        <v>0</v>
      </c>
      <c r="AB83" s="28">
        <f t="shared" ref="AB83:AC83" si="177">(AB81)+(AB82)</f>
        <v>0</v>
      </c>
      <c r="AC83" s="28">
        <f t="shared" si="177"/>
        <v>0</v>
      </c>
      <c r="AD83" s="28">
        <f t="shared" ref="AD83:AD85" si="188">(AB83)+(AC83)</f>
        <v>0</v>
      </c>
      <c r="AE83" s="28">
        <f t="shared" ref="AE83:AK83" si="178">(AE81)+(AE82)</f>
        <v>0</v>
      </c>
      <c r="AF83" s="28">
        <f t="shared" si="178"/>
        <v>0</v>
      </c>
      <c r="AG83" s="28">
        <f t="shared" si="178"/>
        <v>0</v>
      </c>
      <c r="AH83" s="28">
        <f t="shared" si="178"/>
        <v>0</v>
      </c>
      <c r="AI83" s="28">
        <f t="shared" si="178"/>
        <v>0</v>
      </c>
      <c r="AJ83" s="28">
        <f t="shared" si="178"/>
        <v>0</v>
      </c>
      <c r="AK83" s="28">
        <f t="shared" si="178"/>
        <v>0</v>
      </c>
      <c r="AL83" s="28">
        <f t="shared" ref="AL83:AL85" si="190">((((((AE83)+(AF83))+(AG83))+(AH83))+(AI83))+(AJ83))+(AK83)</f>
        <v>0</v>
      </c>
      <c r="AM83" s="28">
        <f t="shared" ref="AM83:AN83" si="179">(AM81)+(AM82)</f>
        <v>0</v>
      </c>
      <c r="AN83" s="28">
        <f t="shared" si="179"/>
        <v>0</v>
      </c>
      <c r="AO83" s="28">
        <f t="shared" ref="AO83:AO85" si="192">(AM83)+(AN83)</f>
        <v>0</v>
      </c>
      <c r="AP83" s="28">
        <f t="shared" ref="AP83:AX83" si="180">(AP81)+(AP82)</f>
        <v>0</v>
      </c>
      <c r="AQ83" s="28">
        <f t="shared" si="180"/>
        <v>0</v>
      </c>
      <c r="AR83" s="28">
        <f t="shared" si="180"/>
        <v>0</v>
      </c>
      <c r="AS83" s="28">
        <f t="shared" si="180"/>
        <v>0</v>
      </c>
      <c r="AT83" s="28">
        <f t="shared" si="180"/>
        <v>0</v>
      </c>
      <c r="AU83" s="28">
        <f t="shared" si="180"/>
        <v>0</v>
      </c>
      <c r="AV83" s="28">
        <f t="shared" si="180"/>
        <v>0</v>
      </c>
      <c r="AW83" s="28">
        <f t="shared" si="180"/>
        <v>0</v>
      </c>
      <c r="AX83" s="28">
        <f t="shared" si="180"/>
        <v>0</v>
      </c>
      <c r="AY83" s="28">
        <f t="shared" ref="AY83:AY85" si="194">((((((((AP83)+(AQ83))+(AR83))+(AS83))+(AT83))+(AU83))+(AV83))+(AW83))+(AX83)</f>
        <v>0</v>
      </c>
      <c r="AZ83" s="28">
        <f t="shared" ref="AZ83:BB83" si="181">(AZ81)+(AZ82)</f>
        <v>0</v>
      </c>
      <c r="BA83" s="28">
        <f t="shared" si="181"/>
        <v>0</v>
      </c>
      <c r="BB83" s="28">
        <f t="shared" si="181"/>
        <v>0</v>
      </c>
      <c r="BC83" s="28">
        <f t="shared" si="182"/>
        <v>4650</v>
      </c>
    </row>
    <row r="84" ht="14.25" customHeight="1">
      <c r="A84" s="6" t="s">
        <v>186</v>
      </c>
      <c r="B84" s="28">
        <f t="shared" ref="B84:V84" si="183">B83</f>
        <v>0</v>
      </c>
      <c r="C84" s="28">
        <f t="shared" si="183"/>
        <v>4650</v>
      </c>
      <c r="D84" s="28">
        <f t="shared" si="183"/>
        <v>0</v>
      </c>
      <c r="E84" s="28">
        <f t="shared" si="183"/>
        <v>0</v>
      </c>
      <c r="F84" s="28">
        <f t="shared" si="183"/>
        <v>0</v>
      </c>
      <c r="G84" s="28">
        <f t="shared" si="183"/>
        <v>0</v>
      </c>
      <c r="H84" s="28">
        <f t="shared" si="183"/>
        <v>0</v>
      </c>
      <c r="I84" s="28">
        <f t="shared" si="183"/>
        <v>0</v>
      </c>
      <c r="J84" s="28">
        <f t="shared" si="183"/>
        <v>0</v>
      </c>
      <c r="K84" s="28">
        <f t="shared" si="183"/>
        <v>0</v>
      </c>
      <c r="L84" s="28">
        <f t="shared" si="183"/>
        <v>0</v>
      </c>
      <c r="M84" s="28">
        <f t="shared" si="183"/>
        <v>0</v>
      </c>
      <c r="N84" s="28">
        <f t="shared" si="183"/>
        <v>0</v>
      </c>
      <c r="O84" s="28">
        <f t="shared" si="183"/>
        <v>0</v>
      </c>
      <c r="P84" s="28">
        <f t="shared" si="183"/>
        <v>0</v>
      </c>
      <c r="Q84" s="28">
        <f t="shared" si="183"/>
        <v>0</v>
      </c>
      <c r="R84" s="28">
        <f t="shared" si="183"/>
        <v>0</v>
      </c>
      <c r="S84" s="28">
        <f t="shared" si="183"/>
        <v>0</v>
      </c>
      <c r="T84" s="28">
        <f t="shared" si="183"/>
        <v>0</v>
      </c>
      <c r="U84" s="28">
        <f t="shared" si="183"/>
        <v>0</v>
      </c>
      <c r="V84" s="28">
        <f t="shared" si="183"/>
        <v>0</v>
      </c>
      <c r="W84" s="28">
        <f t="shared" si="184"/>
        <v>0</v>
      </c>
      <c r="X84" s="28">
        <f t="shared" si="175"/>
        <v>4650</v>
      </c>
      <c r="Y84" s="28">
        <f t="shared" ref="Y84:Z84" si="185">Y83</f>
        <v>0</v>
      </c>
      <c r="Z84" s="28">
        <f t="shared" si="185"/>
        <v>0</v>
      </c>
      <c r="AA84" s="28">
        <f t="shared" si="186"/>
        <v>0</v>
      </c>
      <c r="AB84" s="28">
        <f t="shared" ref="AB84:AC84" si="187">AB83</f>
        <v>0</v>
      </c>
      <c r="AC84" s="28">
        <f t="shared" si="187"/>
        <v>0</v>
      </c>
      <c r="AD84" s="28">
        <f t="shared" si="188"/>
        <v>0</v>
      </c>
      <c r="AE84" s="28">
        <f t="shared" ref="AE84:AK84" si="189">AE83</f>
        <v>0</v>
      </c>
      <c r="AF84" s="28">
        <f t="shared" si="189"/>
        <v>0</v>
      </c>
      <c r="AG84" s="28">
        <f t="shared" si="189"/>
        <v>0</v>
      </c>
      <c r="AH84" s="28">
        <f t="shared" si="189"/>
        <v>0</v>
      </c>
      <c r="AI84" s="28">
        <f t="shared" si="189"/>
        <v>0</v>
      </c>
      <c r="AJ84" s="28">
        <f t="shared" si="189"/>
        <v>0</v>
      </c>
      <c r="AK84" s="28">
        <f t="shared" si="189"/>
        <v>0</v>
      </c>
      <c r="AL84" s="28">
        <f t="shared" si="190"/>
        <v>0</v>
      </c>
      <c r="AM84" s="28">
        <f t="shared" ref="AM84:AN84" si="191">AM83</f>
        <v>0</v>
      </c>
      <c r="AN84" s="28">
        <f t="shared" si="191"/>
        <v>0</v>
      </c>
      <c r="AO84" s="28">
        <f t="shared" si="192"/>
        <v>0</v>
      </c>
      <c r="AP84" s="28">
        <f t="shared" ref="AP84:AX84" si="193">AP83</f>
        <v>0</v>
      </c>
      <c r="AQ84" s="28">
        <f t="shared" si="193"/>
        <v>0</v>
      </c>
      <c r="AR84" s="28">
        <f t="shared" si="193"/>
        <v>0</v>
      </c>
      <c r="AS84" s="28">
        <f t="shared" si="193"/>
        <v>0</v>
      </c>
      <c r="AT84" s="28">
        <f t="shared" si="193"/>
        <v>0</v>
      </c>
      <c r="AU84" s="28">
        <f t="shared" si="193"/>
        <v>0</v>
      </c>
      <c r="AV84" s="28">
        <f t="shared" si="193"/>
        <v>0</v>
      </c>
      <c r="AW84" s="28">
        <f t="shared" si="193"/>
        <v>0</v>
      </c>
      <c r="AX84" s="28">
        <f t="shared" si="193"/>
        <v>0</v>
      </c>
      <c r="AY84" s="28">
        <f t="shared" si="194"/>
        <v>0</v>
      </c>
      <c r="AZ84" s="28">
        <f t="shared" ref="AZ84:BB84" si="195">AZ83</f>
        <v>0</v>
      </c>
      <c r="BA84" s="28">
        <f t="shared" si="195"/>
        <v>0</v>
      </c>
      <c r="BB84" s="28">
        <f t="shared" si="195"/>
        <v>0</v>
      </c>
      <c r="BC84" s="28">
        <f t="shared" si="182"/>
        <v>4650</v>
      </c>
    </row>
    <row r="85" ht="14.25" hidden="1" customHeight="1">
      <c r="A85" s="6" t="s">
        <v>187</v>
      </c>
      <c r="B85" s="28">
        <f t="shared" ref="B85:V85" si="196">(B79)-(B84)</f>
        <v>0</v>
      </c>
      <c r="C85" s="28">
        <f t="shared" si="196"/>
        <v>0</v>
      </c>
      <c r="D85" s="28">
        <f t="shared" si="196"/>
        <v>0</v>
      </c>
      <c r="E85" s="28">
        <f t="shared" si="196"/>
        <v>0</v>
      </c>
      <c r="F85" s="28">
        <f t="shared" si="196"/>
        <v>0</v>
      </c>
      <c r="G85" s="28">
        <f t="shared" si="196"/>
        <v>0</v>
      </c>
      <c r="H85" s="28">
        <f t="shared" si="196"/>
        <v>250</v>
      </c>
      <c r="I85" s="28">
        <f t="shared" si="196"/>
        <v>0</v>
      </c>
      <c r="J85" s="28">
        <f t="shared" si="196"/>
        <v>0</v>
      </c>
      <c r="K85" s="28">
        <f t="shared" si="196"/>
        <v>0</v>
      </c>
      <c r="L85" s="28">
        <f t="shared" si="196"/>
        <v>0</v>
      </c>
      <c r="M85" s="28">
        <f t="shared" si="196"/>
        <v>0</v>
      </c>
      <c r="N85" s="28">
        <f t="shared" si="196"/>
        <v>0</v>
      </c>
      <c r="O85" s="28">
        <f t="shared" si="196"/>
        <v>0</v>
      </c>
      <c r="P85" s="28">
        <f t="shared" si="196"/>
        <v>0</v>
      </c>
      <c r="Q85" s="28">
        <f t="shared" si="196"/>
        <v>0</v>
      </c>
      <c r="R85" s="28">
        <f t="shared" si="196"/>
        <v>0</v>
      </c>
      <c r="S85" s="28">
        <f t="shared" si="196"/>
        <v>0</v>
      </c>
      <c r="T85" s="28">
        <f t="shared" si="196"/>
        <v>0</v>
      </c>
      <c r="U85" s="28">
        <f t="shared" si="196"/>
        <v>0</v>
      </c>
      <c r="V85" s="28">
        <f t="shared" si="196"/>
        <v>0</v>
      </c>
      <c r="W85" s="28">
        <f t="shared" si="184"/>
        <v>250</v>
      </c>
      <c r="X85" s="28">
        <f t="shared" si="175"/>
        <v>250</v>
      </c>
      <c r="Y85" s="28">
        <f t="shared" ref="Y85:Z85" si="197">(Y79)-(Y84)</f>
        <v>0</v>
      </c>
      <c r="Z85" s="28">
        <f t="shared" si="197"/>
        <v>50.71</v>
      </c>
      <c r="AA85" s="28">
        <f t="shared" si="186"/>
        <v>50.71</v>
      </c>
      <c r="AB85" s="28">
        <f t="shared" ref="AB85:AC85" si="198">(AB79)-(AB84)</f>
        <v>0</v>
      </c>
      <c r="AC85" s="28">
        <f t="shared" si="198"/>
        <v>0</v>
      </c>
      <c r="AD85" s="28">
        <f t="shared" si="188"/>
        <v>0</v>
      </c>
      <c r="AE85" s="28">
        <f t="shared" ref="AE85:AK85" si="199">(AE79)-(AE84)</f>
        <v>0</v>
      </c>
      <c r="AF85" s="28">
        <f t="shared" si="199"/>
        <v>0</v>
      </c>
      <c r="AG85" s="28">
        <f t="shared" si="199"/>
        <v>0</v>
      </c>
      <c r="AH85" s="28">
        <f t="shared" si="199"/>
        <v>0</v>
      </c>
      <c r="AI85" s="28">
        <f t="shared" si="199"/>
        <v>0</v>
      </c>
      <c r="AJ85" s="28">
        <f t="shared" si="199"/>
        <v>0</v>
      </c>
      <c r="AK85" s="28">
        <f t="shared" si="199"/>
        <v>0</v>
      </c>
      <c r="AL85" s="28">
        <f t="shared" si="190"/>
        <v>0</v>
      </c>
      <c r="AM85" s="28">
        <f t="shared" ref="AM85:AN85" si="200">(AM79)-(AM84)</f>
        <v>0</v>
      </c>
      <c r="AN85" s="28">
        <f t="shared" si="200"/>
        <v>0</v>
      </c>
      <c r="AO85" s="28">
        <f t="shared" si="192"/>
        <v>0</v>
      </c>
      <c r="AP85" s="28">
        <f t="shared" ref="AP85:AX85" si="201">(AP79)-(AP84)</f>
        <v>0</v>
      </c>
      <c r="AQ85" s="28">
        <f t="shared" si="201"/>
        <v>0</v>
      </c>
      <c r="AR85" s="28">
        <f t="shared" si="201"/>
        <v>0</v>
      </c>
      <c r="AS85" s="28">
        <f t="shared" si="201"/>
        <v>0</v>
      </c>
      <c r="AT85" s="28">
        <f t="shared" si="201"/>
        <v>0</v>
      </c>
      <c r="AU85" s="28">
        <f t="shared" si="201"/>
        <v>0</v>
      </c>
      <c r="AV85" s="28">
        <f t="shared" si="201"/>
        <v>0</v>
      </c>
      <c r="AW85" s="28">
        <f t="shared" si="201"/>
        <v>0</v>
      </c>
      <c r="AX85" s="28">
        <f t="shared" si="201"/>
        <v>0</v>
      </c>
      <c r="AY85" s="28">
        <f t="shared" si="194"/>
        <v>0</v>
      </c>
      <c r="AZ85" s="28">
        <f t="shared" ref="AZ85:BB85" si="202">(AZ79)-(AZ84)</f>
        <v>0</v>
      </c>
      <c r="BA85" s="28">
        <f t="shared" si="202"/>
        <v>0</v>
      </c>
      <c r="BB85" s="28">
        <f t="shared" si="202"/>
        <v>0</v>
      </c>
      <c r="BC85" s="28">
        <f t="shared" si="182"/>
        <v>300.71</v>
      </c>
    </row>
    <row r="86" ht="14.25" customHeight="1">
      <c r="A86" s="6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</row>
    <row r="87" ht="14.25" customHeight="1">
      <c r="A87" s="6" t="s">
        <v>42</v>
      </c>
      <c r="B87" s="29">
        <f t="shared" ref="B87:V87" si="203">(B69)+(B85)</f>
        <v>0</v>
      </c>
      <c r="C87" s="29">
        <f t="shared" si="203"/>
        <v>563069.57</v>
      </c>
      <c r="D87" s="29">
        <f t="shared" si="203"/>
        <v>0</v>
      </c>
      <c r="E87" s="29">
        <f t="shared" si="203"/>
        <v>980.79</v>
      </c>
      <c r="F87" s="29">
        <f t="shared" si="203"/>
        <v>-3734.27</v>
      </c>
      <c r="G87" s="29">
        <f t="shared" si="203"/>
        <v>-1831.43</v>
      </c>
      <c r="H87" s="29">
        <f t="shared" si="203"/>
        <v>-1183.44</v>
      </c>
      <c r="I87" s="29">
        <f t="shared" si="203"/>
        <v>7180.78</v>
      </c>
      <c r="J87" s="29">
        <f t="shared" si="203"/>
        <v>104.74</v>
      </c>
      <c r="K87" s="29">
        <f t="shared" si="203"/>
        <v>1249.52</v>
      </c>
      <c r="L87" s="29">
        <f t="shared" si="203"/>
        <v>2158.98</v>
      </c>
      <c r="M87" s="29">
        <f t="shared" si="203"/>
        <v>1036.43</v>
      </c>
      <c r="N87" s="29">
        <f t="shared" si="203"/>
        <v>11902.15</v>
      </c>
      <c r="O87" s="29">
        <f t="shared" si="203"/>
        <v>-6580.29</v>
      </c>
      <c r="P87" s="29">
        <f t="shared" si="203"/>
        <v>148.58</v>
      </c>
      <c r="Q87" s="29">
        <f t="shared" si="203"/>
        <v>2649.79</v>
      </c>
      <c r="R87" s="29">
        <f t="shared" si="203"/>
        <v>855.75</v>
      </c>
      <c r="S87" s="29">
        <f t="shared" si="203"/>
        <v>1564.74</v>
      </c>
      <c r="T87" s="29">
        <f t="shared" si="203"/>
        <v>433.3</v>
      </c>
      <c r="U87" s="29">
        <f t="shared" si="203"/>
        <v>5576.18</v>
      </c>
      <c r="V87" s="29">
        <f t="shared" si="203"/>
        <v>1626.25</v>
      </c>
      <c r="W87" s="29">
        <f>((((((((((((((((((D87)+(E87))+(F87))+(G87))+(H87))+(I87))+(J87))+(K87))+(L87))+(M87))+(N87))+(O87))+(P87))+(Q87))+(R87))+(S87))+(T87))+(U87))+(V87)</f>
        <v>24138.55</v>
      </c>
      <c r="X87" s="29">
        <f>((B87)+(C87))+(W87)</f>
        <v>587208.12</v>
      </c>
      <c r="Y87" s="29">
        <f t="shared" ref="Y87:Z87" si="204">(Y69)+(Y85)</f>
        <v>0</v>
      </c>
      <c r="Z87" s="29">
        <f t="shared" si="204"/>
        <v>-149932.4</v>
      </c>
      <c r="AA87" s="29">
        <f>(Y87)+(Z87)</f>
        <v>-149932.4</v>
      </c>
      <c r="AB87" s="29">
        <f t="shared" ref="AB87:AC87" si="205">(AB69)+(AB85)</f>
        <v>0</v>
      </c>
      <c r="AC87" s="29">
        <f t="shared" si="205"/>
        <v>-3262.05</v>
      </c>
      <c r="AD87" s="29">
        <f>(AB87)+(AC87)</f>
        <v>-3262.05</v>
      </c>
      <c r="AE87" s="29">
        <f t="shared" ref="AE87:AK87" si="206">(AE69)+(AE85)</f>
        <v>0</v>
      </c>
      <c r="AF87" s="29">
        <f t="shared" si="206"/>
        <v>1173.3</v>
      </c>
      <c r="AG87" s="29">
        <f t="shared" si="206"/>
        <v>-378.15</v>
      </c>
      <c r="AH87" s="29">
        <f t="shared" si="206"/>
        <v>-17590.62</v>
      </c>
      <c r="AI87" s="29">
        <f t="shared" si="206"/>
        <v>-5433.98</v>
      </c>
      <c r="AJ87" s="29">
        <f t="shared" si="206"/>
        <v>-1003.67</v>
      </c>
      <c r="AK87" s="29">
        <f t="shared" si="206"/>
        <v>677.53</v>
      </c>
      <c r="AL87" s="29">
        <f>((((((AE87)+(AF87))+(AG87))+(AH87))+(AI87))+(AJ87))+(AK87)</f>
        <v>-22555.59</v>
      </c>
      <c r="AM87" s="29">
        <f t="shared" ref="AM87:AN87" si="207">(AM69)+(AM85)</f>
        <v>0</v>
      </c>
      <c r="AN87" s="29">
        <f t="shared" si="207"/>
        <v>147</v>
      </c>
      <c r="AO87" s="29">
        <f>(AM87)+(AN87)</f>
        <v>147</v>
      </c>
      <c r="AP87" s="29">
        <f t="shared" ref="AP87:AX87" si="208">(AP69)+(AP85)</f>
        <v>0</v>
      </c>
      <c r="AQ87" s="29">
        <f t="shared" si="208"/>
        <v>-6.89</v>
      </c>
      <c r="AR87" s="29">
        <f t="shared" si="208"/>
        <v>317.67</v>
      </c>
      <c r="AS87" s="29">
        <f t="shared" si="208"/>
        <v>9949.24</v>
      </c>
      <c r="AT87" s="29">
        <f t="shared" si="208"/>
        <v>468.49</v>
      </c>
      <c r="AU87" s="29">
        <f t="shared" si="208"/>
        <v>-384623.05</v>
      </c>
      <c r="AV87" s="29">
        <f t="shared" si="208"/>
        <v>36000</v>
      </c>
      <c r="AW87" s="29">
        <f t="shared" si="208"/>
        <v>-81.95</v>
      </c>
      <c r="AX87" s="29">
        <f t="shared" si="208"/>
        <v>-12909.41</v>
      </c>
      <c r="AY87" s="29">
        <f>((((((((AP87)+(AQ87))+(AR87))+(AS87))+(AT87))+(AU87))+(AV87))+(AW87))+(AX87)</f>
        <v>-350885.9</v>
      </c>
      <c r="AZ87" s="29">
        <f t="shared" ref="AZ87:BB87" si="209">(AZ69)+(AZ85)</f>
        <v>-2059.84</v>
      </c>
      <c r="BA87" s="29">
        <f t="shared" si="209"/>
        <v>113.41</v>
      </c>
      <c r="BB87" s="29">
        <f t="shared" si="209"/>
        <v>-146914.26</v>
      </c>
      <c r="BC87" s="29">
        <f>((((((((X87)+(AA87))+(AD87))+(AL87))+(AO87))+(AY87))+(AZ87))+(BA87))+(BB87)</f>
        <v>-88141.51</v>
      </c>
    </row>
    <row r="88" ht="14.25" customHeight="1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</row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BC1"/>
    <mergeCell ref="A2:BC2"/>
    <mergeCell ref="A3:BC3"/>
  </mergeCells>
  <printOptions horizontalCentered="1"/>
  <pageMargins bottom="0.75" footer="0.0" header="0.0" left="0.7" right="0.7" top="0.75"/>
  <pageSetup fitToHeight="0" orientation="landscape"/>
  <headerFooter>
    <oddFooter/>
  </headerFooter>
  <drawing r:id="rId1"/>
</worksheet>
</file>